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20" windowWidth="15192" windowHeight="8700" tabRatio="858"/>
  </bookViews>
  <sheets>
    <sheet name="Приложение 1" sheetId="2" r:id="rId1"/>
    <sheet name="Приложение 2" sheetId="8" r:id="rId2"/>
    <sheet name="Приложение 3" sheetId="22" r:id="rId3"/>
    <sheet name="Приложение 4" sheetId="13" r:id="rId4"/>
    <sheet name="Приложение 5" sheetId="14" r:id="rId5"/>
  </sheets>
  <calcPr calcId="145621"/>
</workbook>
</file>

<file path=xl/calcChain.xml><?xml version="1.0" encoding="utf-8"?>
<calcChain xmlns="http://schemas.openxmlformats.org/spreadsheetml/2006/main">
  <c r="E16" i="8"/>
  <c r="E36"/>
  <c r="E35"/>
  <c r="E32"/>
  <c r="F32"/>
  <c r="E27"/>
  <c r="E26"/>
  <c r="E24"/>
  <c r="E23"/>
  <c r="E20"/>
  <c r="E14"/>
  <c r="E13"/>
  <c r="E17" i="22"/>
  <c r="E16"/>
  <c r="E20"/>
  <c r="E19"/>
  <c r="F109"/>
  <c r="F116"/>
  <c r="E13"/>
  <c r="E22"/>
  <c r="E21"/>
  <c r="E25"/>
  <c r="E27"/>
  <c r="E29"/>
  <c r="E32"/>
  <c r="E31"/>
  <c r="E35"/>
  <c r="F35"/>
  <c r="E37"/>
  <c r="E38"/>
  <c r="E40"/>
  <c r="F41"/>
  <c r="E45"/>
  <c r="E44"/>
  <c r="E43"/>
  <c r="E49"/>
  <c r="E48"/>
  <c r="E47"/>
  <c r="E53"/>
  <c r="E55"/>
  <c r="F55"/>
  <c r="F58"/>
  <c r="E59"/>
  <c r="E61"/>
  <c r="E65"/>
  <c r="E64"/>
  <c r="E67"/>
  <c r="E69"/>
  <c r="E71"/>
  <c r="F72"/>
  <c r="E73"/>
  <c r="E77"/>
  <c r="E79"/>
  <c r="E81"/>
  <c r="F81"/>
  <c r="E85"/>
  <c r="E87"/>
  <c r="E89"/>
  <c r="E91"/>
  <c r="E95"/>
  <c r="E94"/>
  <c r="E100"/>
  <c r="F100"/>
  <c r="E104"/>
  <c r="E103"/>
  <c r="E107"/>
  <c r="E106"/>
  <c r="E111"/>
  <c r="E115"/>
  <c r="F115"/>
  <c r="E119"/>
  <c r="E118"/>
  <c r="E117"/>
  <c r="E121"/>
  <c r="I179" i="13"/>
  <c r="H174"/>
  <c r="H173"/>
  <c r="H177"/>
  <c r="H166"/>
  <c r="H165"/>
  <c r="H163"/>
  <c r="H161"/>
  <c r="H159"/>
  <c r="H157"/>
  <c r="H156"/>
  <c r="H151"/>
  <c r="H150"/>
  <c r="H152"/>
  <c r="H145"/>
  <c r="H144"/>
  <c r="H142"/>
  <c r="H141"/>
  <c r="H135"/>
  <c r="H134"/>
  <c r="H133"/>
  <c r="H128"/>
  <c r="H129"/>
  <c r="H125"/>
  <c r="H123"/>
  <c r="H121"/>
  <c r="H119"/>
  <c r="I119"/>
  <c r="G119"/>
  <c r="H115"/>
  <c r="H113"/>
  <c r="H111"/>
  <c r="H110"/>
  <c r="H109"/>
  <c r="H106"/>
  <c r="H104"/>
  <c r="H101"/>
  <c r="H100"/>
  <c r="H99"/>
  <c r="H97"/>
  <c r="H95"/>
  <c r="H94"/>
  <c r="H93"/>
  <c r="H85"/>
  <c r="H89"/>
  <c r="H87"/>
  <c r="H83"/>
  <c r="H81"/>
  <c r="H80"/>
  <c r="H67"/>
  <c r="H65"/>
  <c r="H64"/>
  <c r="H57"/>
  <c r="H56"/>
  <c r="H54"/>
  <c r="H53"/>
  <c r="H51"/>
  <c r="H50"/>
  <c r="H48"/>
  <c r="H47"/>
  <c r="H44"/>
  <c r="H45"/>
  <c r="H40"/>
  <c r="H39"/>
  <c r="H34"/>
  <c r="H33"/>
  <c r="H32"/>
  <c r="H28"/>
  <c r="H24"/>
  <c r="H25"/>
  <c r="H19"/>
  <c r="H17"/>
  <c r="H16"/>
  <c r="H15"/>
  <c r="H14"/>
  <c r="H13"/>
  <c r="D36" i="8"/>
  <c r="D33"/>
  <c r="D32"/>
  <c r="D31"/>
  <c r="D30"/>
  <c r="D28"/>
  <c r="D29"/>
  <c r="D27"/>
  <c r="D25"/>
  <c r="D26"/>
  <c r="D24"/>
  <c r="F24"/>
  <c r="D23"/>
  <c r="D21"/>
  <c r="D20"/>
  <c r="D19"/>
  <c r="D18"/>
  <c r="D17"/>
  <c r="D16"/>
  <c r="F16"/>
  <c r="D14"/>
  <c r="F14"/>
  <c r="D13"/>
  <c r="D12"/>
  <c r="D122" i="22"/>
  <c r="D117"/>
  <c r="F117"/>
  <c r="D120"/>
  <c r="F120"/>
  <c r="D119"/>
  <c r="D118"/>
  <c r="D115"/>
  <c r="D114"/>
  <c r="D113"/>
  <c r="F113"/>
  <c r="D112"/>
  <c r="D108"/>
  <c r="F108"/>
  <c r="D107"/>
  <c r="D106"/>
  <c r="D105"/>
  <c r="F105"/>
  <c r="D104"/>
  <c r="D100"/>
  <c r="D99"/>
  <c r="F99"/>
  <c r="D98"/>
  <c r="D97"/>
  <c r="D96"/>
  <c r="D95"/>
  <c r="D92"/>
  <c r="D91"/>
  <c r="D89"/>
  <c r="F89"/>
  <c r="D87"/>
  <c r="D85"/>
  <c r="F85"/>
  <c r="D82"/>
  <c r="D81"/>
  <c r="D80"/>
  <c r="D79"/>
  <c r="D78"/>
  <c r="D77"/>
  <c r="D73"/>
  <c r="D72"/>
  <c r="D71"/>
  <c r="D69"/>
  <c r="D68"/>
  <c r="D67"/>
  <c r="D66"/>
  <c r="D65"/>
  <c r="D64"/>
  <c r="D62"/>
  <c r="D61"/>
  <c r="D60"/>
  <c r="D59"/>
  <c r="D58"/>
  <c r="D57"/>
  <c r="D55"/>
  <c r="D54"/>
  <c r="F54"/>
  <c r="D53"/>
  <c r="F53"/>
  <c r="D49"/>
  <c r="D48"/>
  <c r="D47"/>
  <c r="D46"/>
  <c r="D45"/>
  <c r="D40"/>
  <c r="D39"/>
  <c r="F39"/>
  <c r="D35"/>
  <c r="D34"/>
  <c r="D33"/>
  <c r="D32"/>
  <c r="D29"/>
  <c r="F29"/>
  <c r="D27"/>
  <c r="D25"/>
  <c r="F25"/>
  <c r="D23"/>
  <c r="F23"/>
  <c r="D19"/>
  <c r="F19"/>
  <c r="D17"/>
  <c r="D15"/>
  <c r="D16"/>
  <c r="F16"/>
  <c r="D14"/>
  <c r="D13"/>
  <c r="G178" i="13"/>
  <c r="I178"/>
  <c r="G177"/>
  <c r="G175"/>
  <c r="I175"/>
  <c r="G166"/>
  <c r="G165"/>
  <c r="G164"/>
  <c r="I164"/>
  <c r="G161"/>
  <c r="G160"/>
  <c r="G159"/>
  <c r="G158"/>
  <c r="G157"/>
  <c r="G156"/>
  <c r="G153"/>
  <c r="G152"/>
  <c r="G145"/>
  <c r="G144"/>
  <c r="G143"/>
  <c r="G142"/>
  <c r="G136"/>
  <c r="G135"/>
  <c r="G130"/>
  <c r="G129"/>
  <c r="G128"/>
  <c r="I128"/>
  <c r="G126"/>
  <c r="G123"/>
  <c r="G121"/>
  <c r="G116"/>
  <c r="G115"/>
  <c r="I115"/>
  <c r="G114"/>
  <c r="G113"/>
  <c r="G112"/>
  <c r="G111"/>
  <c r="G110"/>
  <c r="G107"/>
  <c r="G106"/>
  <c r="G105"/>
  <c r="G104"/>
  <c r="G101"/>
  <c r="G100"/>
  <c r="G97"/>
  <c r="G95"/>
  <c r="G94"/>
  <c r="G93"/>
  <c r="G90"/>
  <c r="G88"/>
  <c r="G87"/>
  <c r="I87"/>
  <c r="G86"/>
  <c r="G85"/>
  <c r="G83"/>
  <c r="G82"/>
  <c r="G81"/>
  <c r="G80"/>
  <c r="G74"/>
  <c r="G73"/>
  <c r="G68"/>
  <c r="G67"/>
  <c r="G65"/>
  <c r="G64"/>
  <c r="G63"/>
  <c r="G62"/>
  <c r="G61"/>
  <c r="G60"/>
  <c r="G57"/>
  <c r="G56"/>
  <c r="G51"/>
  <c r="G50"/>
  <c r="G49"/>
  <c r="G48"/>
  <c r="G45"/>
  <c r="G44"/>
  <c r="I44"/>
  <c r="G42"/>
  <c r="G41"/>
  <c r="G40"/>
  <c r="G34"/>
  <c r="G33"/>
  <c r="G32"/>
  <c r="G28"/>
  <c r="G27"/>
  <c r="I27"/>
  <c r="G26"/>
  <c r="I26"/>
  <c r="G19"/>
  <c r="I19"/>
  <c r="G18"/>
  <c r="G17"/>
  <c r="G16"/>
  <c r="G15"/>
  <c r="I20"/>
  <c r="I167"/>
  <c r="I166"/>
  <c r="I160"/>
  <c r="I124"/>
  <c r="I116"/>
  <c r="I114"/>
  <c r="I102"/>
  <c r="I98"/>
  <c r="I96"/>
  <c r="I86"/>
  <c r="I43"/>
  <c r="I42"/>
  <c r="I41"/>
  <c r="E93" i="2"/>
  <c r="E92"/>
  <c r="E91"/>
  <c r="E90"/>
  <c r="E89"/>
  <c r="F89"/>
  <c r="E88"/>
  <c r="E87"/>
  <c r="E86"/>
  <c r="E85"/>
  <c r="E84"/>
  <c r="E83"/>
  <c r="F83"/>
  <c r="E82"/>
  <c r="E81"/>
  <c r="D26" i="14"/>
  <c r="D25"/>
  <c r="D24"/>
  <c r="E80" i="2"/>
  <c r="E79"/>
  <c r="E78"/>
  <c r="E77"/>
  <c r="E76"/>
  <c r="E75"/>
  <c r="F75"/>
  <c r="E74"/>
  <c r="E73"/>
  <c r="E72"/>
  <c r="F72"/>
  <c r="E71"/>
  <c r="E70"/>
  <c r="E69"/>
  <c r="E68"/>
  <c r="E67"/>
  <c r="E66"/>
  <c r="F66"/>
  <c r="E65"/>
  <c r="E64"/>
  <c r="E63"/>
  <c r="E62"/>
  <c r="E61"/>
  <c r="E60"/>
  <c r="D59"/>
  <c r="E59"/>
  <c r="E58"/>
  <c r="E57"/>
  <c r="E56"/>
  <c r="E55"/>
  <c r="E54"/>
  <c r="E53"/>
  <c r="E52"/>
  <c r="E51"/>
  <c r="E50"/>
  <c r="E49"/>
  <c r="E48"/>
  <c r="E47"/>
  <c r="E46"/>
  <c r="F46"/>
  <c r="E45"/>
  <c r="E44"/>
  <c r="E43"/>
  <c r="E42"/>
  <c r="E41"/>
  <c r="E40"/>
  <c r="E39"/>
  <c r="E38"/>
  <c r="E37"/>
  <c r="E36"/>
  <c r="E35"/>
  <c r="E34"/>
  <c r="E33"/>
  <c r="E32"/>
  <c r="E31"/>
  <c r="F31"/>
  <c r="E30"/>
  <c r="E29"/>
  <c r="E28"/>
  <c r="F28"/>
  <c r="E27"/>
  <c r="E26"/>
  <c r="F26"/>
  <c r="E25"/>
  <c r="E24"/>
  <c r="E23"/>
  <c r="E22"/>
  <c r="E21"/>
  <c r="E20"/>
  <c r="E19"/>
  <c r="E18"/>
  <c r="E17"/>
  <c r="E16"/>
  <c r="E15"/>
  <c r="E14"/>
  <c r="E13"/>
  <c r="F13"/>
  <c r="E12"/>
  <c r="E11"/>
  <c r="F11"/>
  <c r="D93"/>
  <c r="D92"/>
  <c r="D91"/>
  <c r="D90"/>
  <c r="F90"/>
  <c r="D89"/>
  <c r="D88"/>
  <c r="D87"/>
  <c r="D86"/>
  <c r="D85"/>
  <c r="D84"/>
  <c r="D83"/>
  <c r="D82"/>
  <c r="F82"/>
  <c r="D81"/>
  <c r="D80"/>
  <c r="D79"/>
  <c r="F79"/>
  <c r="D78"/>
  <c r="D77"/>
  <c r="D76"/>
  <c r="D75"/>
  <c r="D74"/>
  <c r="D73"/>
  <c r="F73"/>
  <c r="D72"/>
  <c r="D71"/>
  <c r="F71"/>
  <c r="D70"/>
  <c r="D69"/>
  <c r="D68"/>
  <c r="F68"/>
  <c r="D67"/>
  <c r="F67"/>
  <c r="D66"/>
  <c r="D65"/>
  <c r="D64"/>
  <c r="F64"/>
  <c r="D63"/>
  <c r="F63"/>
  <c r="D62"/>
  <c r="D61"/>
  <c r="D60"/>
  <c r="F60"/>
  <c r="D58"/>
  <c r="D57"/>
  <c r="F57"/>
  <c r="D56"/>
  <c r="D55"/>
  <c r="F55"/>
  <c r="D54"/>
  <c r="D53"/>
  <c r="D52"/>
  <c r="F52"/>
  <c r="D51"/>
  <c r="D50"/>
  <c r="D49"/>
  <c r="D48"/>
  <c r="F48"/>
  <c r="D47"/>
  <c r="F47"/>
  <c r="D46"/>
  <c r="D45"/>
  <c r="F45"/>
  <c r="D44"/>
  <c r="D43"/>
  <c r="F43"/>
  <c r="D42"/>
  <c r="D41"/>
  <c r="D40"/>
  <c r="D39"/>
  <c r="F39"/>
  <c r="D38"/>
  <c r="D37"/>
  <c r="D36"/>
  <c r="F36"/>
  <c r="D35"/>
  <c r="D34"/>
  <c r="D33"/>
  <c r="D32"/>
  <c r="F32"/>
  <c r="D31"/>
  <c r="D30"/>
  <c r="D29"/>
  <c r="D28"/>
  <c r="D27"/>
  <c r="F27"/>
  <c r="D26"/>
  <c r="D25"/>
  <c r="F25"/>
  <c r="D24"/>
  <c r="D23"/>
  <c r="D22"/>
  <c r="F22"/>
  <c r="D21"/>
  <c r="D20"/>
  <c r="D19"/>
  <c r="F19"/>
  <c r="D17"/>
  <c r="D16"/>
  <c r="D15"/>
  <c r="D14"/>
  <c r="F14"/>
  <c r="D13"/>
  <c r="D12"/>
  <c r="F12"/>
  <c r="D11"/>
  <c r="D30" i="14"/>
  <c r="D29"/>
  <c r="D28"/>
  <c r="F46" i="22"/>
  <c r="F71"/>
  <c r="F42"/>
  <c r="F36"/>
  <c r="F30"/>
  <c r="F20"/>
  <c r="F18"/>
  <c r="F26"/>
  <c r="F28"/>
  <c r="F56"/>
  <c r="F60"/>
  <c r="F68"/>
  <c r="F74"/>
  <c r="F88"/>
  <c r="F92"/>
  <c r="F96"/>
  <c r="E28" i="8"/>
  <c r="E19"/>
  <c r="F19"/>
  <c r="E17"/>
  <c r="E33"/>
  <c r="F33"/>
  <c r="F13"/>
  <c r="F15"/>
  <c r="F18"/>
  <c r="F21"/>
  <c r="F30"/>
  <c r="F34"/>
  <c r="C26" i="14"/>
  <c r="C25"/>
  <c r="D15"/>
  <c r="D14"/>
  <c r="D17"/>
  <c r="C17"/>
  <c r="C14"/>
  <c r="C15"/>
  <c r="F101" i="22"/>
  <c r="F90"/>
  <c r="F78"/>
  <c r="F66"/>
  <c r="F50"/>
  <c r="F29" i="8"/>
  <c r="E25"/>
  <c r="F25"/>
  <c r="F20"/>
  <c r="F86" i="22"/>
  <c r="F70"/>
  <c r="F93" i="2"/>
  <c r="F92"/>
  <c r="F91"/>
  <c r="F88"/>
  <c r="F87"/>
  <c r="F34"/>
  <c r="F42"/>
  <c r="F29"/>
  <c r="F37"/>
  <c r="F38"/>
  <c r="F58"/>
  <c r="F69"/>
  <c r="F81"/>
  <c r="F15"/>
  <c r="F23"/>
  <c r="F35"/>
  <c r="F51"/>
  <c r="F62"/>
  <c r="F70"/>
  <c r="F74"/>
  <c r="F85"/>
  <c r="F84"/>
  <c r="F77"/>
  <c r="F76"/>
  <c r="F80"/>
  <c r="F65"/>
  <c r="F61"/>
  <c r="F59"/>
  <c r="F56"/>
  <c r="F54"/>
  <c r="F53"/>
  <c r="F50"/>
  <c r="F49"/>
  <c r="F44"/>
  <c r="F41"/>
  <c r="F33"/>
  <c r="F21"/>
  <c r="F30"/>
  <c r="F16"/>
  <c r="F20"/>
  <c r="F24"/>
  <c r="F36" i="8"/>
  <c r="E31"/>
  <c r="F31"/>
  <c r="F28"/>
  <c r="F27"/>
  <c r="E22"/>
  <c r="F23"/>
  <c r="F17"/>
  <c r="E12"/>
  <c r="E11"/>
  <c r="F69" i="22"/>
  <c r="F73"/>
  <c r="F17"/>
  <c r="E15"/>
  <c r="E12"/>
  <c r="E11"/>
  <c r="F119"/>
  <c r="E114"/>
  <c r="E110"/>
  <c r="F114"/>
  <c r="E102"/>
  <c r="E84"/>
  <c r="E83"/>
  <c r="E76"/>
  <c r="E75"/>
  <c r="F75"/>
  <c r="F67"/>
  <c r="E63"/>
  <c r="F27"/>
  <c r="F80"/>
  <c r="F62"/>
  <c r="F14"/>
  <c r="F48"/>
  <c r="F40"/>
  <c r="F47"/>
  <c r="F79"/>
  <c r="F87"/>
  <c r="F106"/>
  <c r="E112"/>
  <c r="F112"/>
  <c r="E98"/>
  <c r="E97"/>
  <c r="E57"/>
  <c r="E51"/>
  <c r="E52"/>
  <c r="E34"/>
  <c r="F34"/>
  <c r="E24"/>
  <c r="F61"/>
  <c r="F91"/>
  <c r="F59"/>
  <c r="F13"/>
  <c r="D23" i="14"/>
  <c r="D12"/>
  <c r="H176" i="13"/>
  <c r="H172"/>
  <c r="H155"/>
  <c r="H154"/>
  <c r="H149"/>
  <c r="H148"/>
  <c r="H147"/>
  <c r="H140"/>
  <c r="I140"/>
  <c r="H138"/>
  <c r="H137"/>
  <c r="H132"/>
  <c r="H131"/>
  <c r="H127"/>
  <c r="H118"/>
  <c r="H117"/>
  <c r="I104"/>
  <c r="H92"/>
  <c r="H91"/>
  <c r="H79"/>
  <c r="H78"/>
  <c r="H77"/>
  <c r="H63"/>
  <c r="I63"/>
  <c r="H62"/>
  <c r="H61"/>
  <c r="H55"/>
  <c r="H38"/>
  <c r="G31"/>
  <c r="H23"/>
  <c r="H22"/>
  <c r="I22"/>
  <c r="D22" i="8"/>
  <c r="D11"/>
  <c r="D35"/>
  <c r="F35"/>
  <c r="F26"/>
  <c r="F32" i="22"/>
  <c r="D31"/>
  <c r="F31"/>
  <c r="D63"/>
  <c r="F64"/>
  <c r="F45"/>
  <c r="D44"/>
  <c r="F44"/>
  <c r="F77"/>
  <c r="D76"/>
  <c r="D94"/>
  <c r="F94"/>
  <c r="F95"/>
  <c r="D103"/>
  <c r="F104"/>
  <c r="F107"/>
  <c r="D38"/>
  <c r="D37"/>
  <c r="F37"/>
  <c r="F33"/>
  <c r="F65"/>
  <c r="D12"/>
  <c r="D22"/>
  <c r="F22"/>
  <c r="F82"/>
  <c r="G54" i="13"/>
  <c r="G53"/>
  <c r="I53"/>
  <c r="G55"/>
  <c r="I55"/>
  <c r="I56"/>
  <c r="G72"/>
  <c r="G70"/>
  <c r="I40"/>
  <c r="G39"/>
  <c r="I39"/>
  <c r="G47"/>
  <c r="I47"/>
  <c r="I48"/>
  <c r="I156"/>
  <c r="G155"/>
  <c r="G154"/>
  <c r="G30"/>
  <c r="I33"/>
  <c r="I17"/>
  <c r="I97"/>
  <c r="G141"/>
  <c r="I141"/>
  <c r="G163"/>
  <c r="I163"/>
  <c r="I18"/>
  <c r="I49"/>
  <c r="I88"/>
  <c r="I95"/>
  <c r="I107"/>
  <c r="I113"/>
  <c r="G25"/>
  <c r="G23"/>
  <c r="G22"/>
  <c r="I25"/>
  <c r="I165"/>
  <c r="I28"/>
  <c r="I153"/>
  <c r="I71"/>
  <c r="I106"/>
  <c r="F22" i="8"/>
  <c r="F15" i="22"/>
  <c r="F63"/>
  <c r="H139" i="13"/>
  <c r="H36"/>
  <c r="F103" i="22"/>
  <c r="D102"/>
  <c r="F102"/>
  <c r="D24"/>
  <c r="F24"/>
  <c r="F38"/>
  <c r="D75"/>
  <c r="F76"/>
  <c r="D93"/>
  <c r="I155" i="13"/>
  <c r="G140"/>
  <c r="G139"/>
  <c r="I139"/>
  <c r="G21"/>
  <c r="I122"/>
  <c r="I121"/>
  <c r="I52"/>
  <c r="I85"/>
  <c r="I16"/>
  <c r="I130"/>
  <c r="I59"/>
  <c r="I94"/>
  <c r="I23"/>
  <c r="I162"/>
  <c r="I136"/>
  <c r="I68"/>
  <c r="I146"/>
  <c r="I145"/>
  <c r="I112"/>
  <c r="I111"/>
  <c r="I46"/>
  <c r="I29"/>
  <c r="C30" i="14"/>
  <c r="C29"/>
  <c r="C28"/>
  <c r="G138" i="13"/>
  <c r="G137"/>
  <c r="I45"/>
  <c r="I144"/>
  <c r="I143"/>
  <c r="I51"/>
  <c r="I161"/>
  <c r="I58"/>
  <c r="I57"/>
  <c r="I129"/>
  <c r="I67"/>
  <c r="I84"/>
  <c r="I75"/>
  <c r="H74"/>
  <c r="I66"/>
  <c r="I83"/>
  <c r="I120"/>
  <c r="I35"/>
  <c r="I159"/>
  <c r="H73"/>
  <c r="I74"/>
  <c r="I157"/>
  <c r="I158"/>
  <c r="I65"/>
  <c r="I64"/>
  <c r="I82"/>
  <c r="I34"/>
  <c r="H72"/>
  <c r="H70"/>
  <c r="I73"/>
  <c r="I81"/>
  <c r="H69"/>
  <c r="I69"/>
  <c r="I70"/>
  <c r="H171"/>
  <c r="F11" i="8"/>
  <c r="C24" i="14"/>
  <c r="C23"/>
  <c r="C12"/>
  <c r="G14" i="13"/>
  <c r="I15"/>
  <c r="I93"/>
  <c r="G109"/>
  <c r="I110"/>
  <c r="G151"/>
  <c r="I152"/>
  <c r="H108"/>
  <c r="I137"/>
  <c r="I50"/>
  <c r="G38"/>
  <c r="I61"/>
  <c r="H60"/>
  <c r="I60"/>
  <c r="I154"/>
  <c r="F97" i="22"/>
  <c r="E93"/>
  <c r="F93"/>
  <c r="I80" i="13"/>
  <c r="G99"/>
  <c r="I99"/>
  <c r="I100"/>
  <c r="G134"/>
  <c r="I135"/>
  <c r="I72"/>
  <c r="F12" i="22"/>
  <c r="D21"/>
  <c r="F21"/>
  <c r="D43"/>
  <c r="F43"/>
  <c r="H37" i="13"/>
  <c r="I138"/>
  <c r="I62"/>
  <c r="I54"/>
  <c r="F98" i="22"/>
  <c r="F12" i="8"/>
  <c r="H21" i="13"/>
  <c r="H76"/>
  <c r="F57" i="22"/>
  <c r="I105" i="13"/>
  <c r="I177"/>
  <c r="G176"/>
  <c r="I176"/>
  <c r="F17" i="2"/>
  <c r="F40"/>
  <c r="F78"/>
  <c r="G174" i="13"/>
  <c r="F118" i="22"/>
  <c r="F86" i="2"/>
  <c r="G24" i="13"/>
  <c r="I24"/>
  <c r="G89"/>
  <c r="I89"/>
  <c r="I90"/>
  <c r="G125"/>
  <c r="I125"/>
  <c r="I126"/>
  <c r="I32"/>
  <c r="H31"/>
  <c r="I31"/>
  <c r="I123"/>
  <c r="I101"/>
  <c r="I142"/>
  <c r="D52" i="22"/>
  <c r="D84"/>
  <c r="D83"/>
  <c r="F83"/>
  <c r="D111"/>
  <c r="D121"/>
  <c r="F121"/>
  <c r="H30" i="13"/>
  <c r="I30"/>
  <c r="F49" i="22"/>
  <c r="F122"/>
  <c r="G173" i="13"/>
  <c r="I174"/>
  <c r="F111" i="22"/>
  <c r="D110"/>
  <c r="F110"/>
  <c r="G118" i="13"/>
  <c r="G79"/>
  <c r="G36"/>
  <c r="I36"/>
  <c r="G37"/>
  <c r="E10" i="22"/>
  <c r="H12" i="13"/>
  <c r="I21"/>
  <c r="I37"/>
  <c r="H103"/>
  <c r="I109"/>
  <c r="H170"/>
  <c r="I38"/>
  <c r="F52" i="22"/>
  <c r="D51"/>
  <c r="F51"/>
  <c r="G133" i="13"/>
  <c r="I134"/>
  <c r="F84" i="22"/>
  <c r="G150" i="13"/>
  <c r="I151"/>
  <c r="G92"/>
  <c r="G13"/>
  <c r="I14"/>
  <c r="D11" i="22"/>
  <c r="G148" i="13"/>
  <c r="G149"/>
  <c r="I149"/>
  <c r="I150"/>
  <c r="G91"/>
  <c r="I91"/>
  <c r="I92"/>
  <c r="H169"/>
  <c r="I13"/>
  <c r="G12"/>
  <c r="G132"/>
  <c r="I132"/>
  <c r="I133"/>
  <c r="G131"/>
  <c r="H11"/>
  <c r="I12"/>
  <c r="G117"/>
  <c r="I118"/>
  <c r="D10" i="22"/>
  <c r="D9"/>
  <c r="F11"/>
  <c r="F10"/>
  <c r="E9"/>
  <c r="F9"/>
  <c r="I79" i="13"/>
  <c r="G78"/>
  <c r="I173"/>
  <c r="G172"/>
  <c r="G77"/>
  <c r="I78"/>
  <c r="H168"/>
  <c r="H10"/>
  <c r="G171"/>
  <c r="I172"/>
  <c r="I117"/>
  <c r="G108"/>
  <c r="G127"/>
  <c r="I127"/>
  <c r="I131"/>
  <c r="I148"/>
  <c r="G147"/>
  <c r="I147"/>
  <c r="G103"/>
  <c r="I103"/>
  <c r="I108"/>
  <c r="G170"/>
  <c r="I171"/>
  <c r="G76"/>
  <c r="I77"/>
  <c r="G169"/>
  <c r="I170"/>
  <c r="I76"/>
  <c r="G11"/>
  <c r="I11"/>
  <c r="G168"/>
  <c r="I168"/>
  <c r="I169"/>
  <c r="G10"/>
  <c r="I10"/>
</calcChain>
</file>

<file path=xl/sharedStrings.xml><?xml version="1.0" encoding="utf-8"?>
<sst xmlns="http://schemas.openxmlformats.org/spreadsheetml/2006/main" count="1625" uniqueCount="436">
  <si>
    <t>Мероприятия по уличному освещению</t>
  </si>
  <si>
    <t>Мероприятия по содержанию мест захоронения</t>
  </si>
  <si>
    <t>Образование</t>
  </si>
  <si>
    <t>07</t>
  </si>
  <si>
    <t>08</t>
  </si>
  <si>
    <t>Культура</t>
  </si>
  <si>
    <t>13</t>
  </si>
  <si>
    <t>Другие вопросы в области национальной экономики</t>
  </si>
  <si>
    <t>Национальная экономика</t>
  </si>
  <si>
    <t>12</t>
  </si>
  <si>
    <t>11</t>
  </si>
  <si>
    <t>Физическая культура и спорт</t>
  </si>
  <si>
    <t>Массовый спорт</t>
  </si>
  <si>
    <t>ШТРАФЫ, САНКЦИИ, ВОЗМЕЩЕНИЕ УЩЕРБА</t>
  </si>
  <si>
    <t>НАЛОГОВЫЕ И НЕНАЛОГОВЫЕ ДОХОДЫ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</si>
  <si>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</si>
  <si>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к Решению Восточной городской Думы</t>
  </si>
  <si>
    <t>ИСТОЧНИКИ</t>
  </si>
  <si>
    <t>Источники внутреннего финансирования дефицитов  бюджетов</t>
  </si>
  <si>
    <t>000 01 00 00 00 00 0000 000</t>
  </si>
  <si>
    <t>в том числе:</t>
  </si>
  <si>
    <t>Иные источники внутреннего финансирования дефицитов бюджетов</t>
  </si>
  <si>
    <t>000 01 06 00 00 00 0000 000</t>
  </si>
  <si>
    <t>Исполнение государственных и муниципальных гарантий в валюте Российской Федерации</t>
  </si>
  <si>
    <t>000 01 06 04 00 00 0000 000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</si>
  <si>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</si>
  <si>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000 01 06 04 00 00 0000 800</t>
  </si>
  <si>
    <t>Исполнение муниципальных гарантий муниципальных образований 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</si>
  <si>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</si>
  <si>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</si>
  <si>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</si>
  <si>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</si>
  <si>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</si>
  <si>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</si>
  <si>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</si>
  <si>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</si>
  <si>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</si>
  <si>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</si>
  <si>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</si>
  <si>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</si>
  <si>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</si>
  <si>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____________________</t>
  </si>
  <si>
    <t>984 01 06 04 00 00 0000 810</t>
  </si>
  <si>
    <t xml:space="preserve">муниципального образования Восточное городское поселение </t>
  </si>
  <si>
    <t xml:space="preserve">финансирования дефицита бюджета </t>
  </si>
  <si>
    <t>(тыс. руб.)</t>
  </si>
  <si>
    <t>Резервные фонды</t>
  </si>
  <si>
    <t>Резервные фонды местных администраций</t>
  </si>
  <si>
    <t>Подпрограмма "Развитие муниципального управления"</t>
  </si>
  <si>
    <t xml:space="preserve"> Восточное городское поселение Омутнинского района Кировской области</t>
  </si>
  <si>
    <t>Дорожное хозяйство (дорожные фонды)</t>
  </si>
  <si>
    <t>000 01 03 00 00 00 0000 000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</si>
  <si>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</si>
  <si>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</si>
  <si>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000 01 03 00 00 00 0000 700</t>
  </si>
  <si>
    <t>Погашение бюджетных кредитов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</si>
  <si>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бюджетом поселения в валюте Российской Федерации</t>
  </si>
  <si>
    <t>984 01 03 00 00 10 0000 710</t>
  </si>
  <si>
    <t>000 01 03 00 00 00 0000 800</t>
  </si>
  <si>
    <t>984 01 03 00 00 10 0000 810</t>
  </si>
  <si>
    <t>Профессиональная подготовка, переподготовка и повышение квалификации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</si>
  <si>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</si>
  <si>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</si>
  <si>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</si>
  <si>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НАЛОГИ НА ТОВАРЫ (РАБОТЫ, УСЛУГИ), РЕАЛИЗУЕМЫЕ НА ТЕРРИТОРИИ РОССИЙСКОЙ ФЕДЕРАЦИИ</t>
  </si>
  <si>
    <t>Муниципальная программа "Развитие Восточного городского поселения"</t>
  </si>
  <si>
    <t>Реализация государственных функций, связанных с общегосударственным управлением</t>
  </si>
  <si>
    <t>Мероприятия в установленной сфере деятельности</t>
  </si>
  <si>
    <t>Мероприятия по поддержке и развитию малого предпринимательства</t>
  </si>
  <si>
    <t>Мероприятия в сфере дорожной деятельности</t>
  </si>
  <si>
    <t>Мероприятия в сфере благоустройства</t>
  </si>
  <si>
    <t>Управление муниципальной собственностью Восточного городского поселения</t>
  </si>
  <si>
    <t>Мероприятия в сфере культуры</t>
  </si>
  <si>
    <t>Мероприятия в области физической культуры и спорта</t>
  </si>
  <si>
    <t>Владение, пользование и распоряжение имуществом, находящимся в муниципальной собственности поселения</t>
  </si>
  <si>
    <t>Органы местного самоуправления и структурные подразделения</t>
  </si>
  <si>
    <t>Акцизы по подакцизным товарам (продукции), производимым на территории Российской Федерации</t>
  </si>
  <si>
    <t>Благоустройство</t>
  </si>
  <si>
    <t>городской Думы</t>
  </si>
  <si>
    <t>Код бюджетной классификации</t>
  </si>
  <si>
    <t>Налог на доходы физических лиц</t>
  </si>
  <si>
    <t>НАЛОГИ НА ПРИБЫЛЬ, ДОХОДЫ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</si>
  <si>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</si>
  <si>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</si>
  <si>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</si>
  <si>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</si>
  <si>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БЕЗВОЗМЕЗДНЫЕ ПОСТУПЛЕНИЯ</t>
  </si>
  <si>
    <t>Наименование показателя</t>
  </si>
  <si>
    <t>Целевая статья</t>
  </si>
  <si>
    <t>Всего расходов</t>
  </si>
  <si>
    <t>00</t>
  </si>
  <si>
    <t>000</t>
  </si>
  <si>
    <t>Общегосударственные вопросы</t>
  </si>
  <si>
    <t>01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</si>
  <si>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</si>
  <si>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</si>
  <si>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</si>
  <si>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</si>
  <si>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</si>
  <si>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</si>
  <si>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03</t>
  </si>
  <si>
    <t xml:space="preserve">Национальная безопасность и правоохранительная деятельность </t>
  </si>
  <si>
    <t>09</t>
  </si>
  <si>
    <t>10</t>
  </si>
  <si>
    <t>Жилищно-коммунальное хозяйство</t>
  </si>
  <si>
    <t>05</t>
  </si>
  <si>
    <t>Погашение бюджетом поселения бюджетных кредитов от других бюджетов бюджетной системы Российской Федерации в валюте Российской Федерации</t>
  </si>
  <si>
    <t>Подпрограмма "Поддержка и развитие малого предпринимательства"</t>
  </si>
  <si>
    <t>Подпрограмма "Благоустройство Восточного городского поселения"</t>
  </si>
  <si>
    <t>Подпрограмма "Безопасное поселение"</t>
  </si>
  <si>
    <t>Подпрограмма "Управление муниципальным имуществом"</t>
  </si>
  <si>
    <t>Подпрограмма "Развитие культуры Восточного городского поселения"</t>
  </si>
  <si>
    <t>Подпрограмма "Развитие молодежной политики"</t>
  </si>
  <si>
    <t>Подпрограмма "Развитие физической культуры и спорта"</t>
  </si>
  <si>
    <t>Подпрограмма "Развитие транспортной системы автомобильных дорог общего пользования"</t>
  </si>
  <si>
    <t>Глава муниципального образования</t>
  </si>
  <si>
    <t>Финансовое обеспечение расходных обязательств муниципального образования, возникающих при выполнении переданных полномочий</t>
  </si>
  <si>
    <t>Земельный налог с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</si>
  <si>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</si>
  <si>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984 01 05 02 01 13 0000 510</t>
  </si>
  <si>
    <t>984 01 05 02 01 13 0000 610</t>
  </si>
  <si>
    <t>Прочие субсидии бюджетам городских поселений</t>
  </si>
  <si>
    <t>14</t>
  </si>
  <si>
    <t>Процент исполнения (%)</t>
  </si>
  <si>
    <t>Приложение № 1</t>
  </si>
  <si>
    <t>Раздел</t>
  </si>
  <si>
    <t>Процент исполнения  (%)</t>
  </si>
  <si>
    <t>Приложение №2</t>
  </si>
  <si>
    <t>3</t>
  </si>
  <si>
    <t>Приложение № 3</t>
  </si>
  <si>
    <t>Приложение № 4</t>
  </si>
  <si>
    <t>Приложение № 5</t>
  </si>
  <si>
    <t>40100 01020</t>
  </si>
  <si>
    <t>40100 01040</t>
  </si>
  <si>
    <t>40100 07000</t>
  </si>
  <si>
    <t>40100 07010</t>
  </si>
  <si>
    <t>40100 10000</t>
  </si>
  <si>
    <t>40100 10010</t>
  </si>
  <si>
    <t>Содействие в развитии сельскохозяйственного производства, создание условий для развития малого и среднего предпринимательства</t>
  </si>
  <si>
    <t>40100 10020</t>
  </si>
  <si>
    <t>40100 10030</t>
  </si>
  <si>
    <t>40100 18000</t>
  </si>
  <si>
    <t>40100 18010</t>
  </si>
  <si>
    <t>40100 19000</t>
  </si>
  <si>
    <t>40100 19010</t>
  </si>
  <si>
    <t>40300 00000</t>
  </si>
  <si>
    <t>40300 04000</t>
  </si>
  <si>
    <t>40300 04030</t>
  </si>
  <si>
    <t>40400 00000</t>
  </si>
  <si>
    <t>40400 04000</t>
  </si>
  <si>
    <t>40400 04040</t>
  </si>
  <si>
    <t>40600 00000</t>
  </si>
  <si>
    <t>40600 04000</t>
  </si>
  <si>
    <t>40600 04060</t>
  </si>
  <si>
    <t>40600 04160</t>
  </si>
  <si>
    <t>40600 04260</t>
  </si>
  <si>
    <t>40700 00000</t>
  </si>
  <si>
    <t>40700 04000</t>
  </si>
  <si>
    <t>40700 04070</t>
  </si>
  <si>
    <t>40700 10000</t>
  </si>
  <si>
    <t>40700 10070</t>
  </si>
  <si>
    <t>40700 10090</t>
  </si>
  <si>
    <t>40800 00000</t>
  </si>
  <si>
    <t>40800 01000</t>
  </si>
  <si>
    <t>40800 01040</t>
  </si>
  <si>
    <t>40800 04000</t>
  </si>
  <si>
    <t>40800 04080</t>
  </si>
  <si>
    <t>40900 00000</t>
  </si>
  <si>
    <t>40900 04000</t>
  </si>
  <si>
    <t>40900 04090</t>
  </si>
  <si>
    <t>40100 00000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</si>
  <si>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</si>
  <si>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</si>
  <si>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</si>
  <si>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800</t>
  </si>
  <si>
    <t>500</t>
  </si>
  <si>
    <t>Межбюджетные трансферты</t>
  </si>
  <si>
    <t>300</t>
  </si>
  <si>
    <t>40900 10000</t>
  </si>
  <si>
    <t>40900 10040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</si>
  <si>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</si>
  <si>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</si>
  <si>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Социальное обеспечение и иные выплаты населению</t>
  </si>
  <si>
    <t>00000 00000</t>
  </si>
  <si>
    <t>40000 00000</t>
  </si>
  <si>
    <t>40100 01000</t>
  </si>
  <si>
    <t>Подраздел</t>
  </si>
  <si>
    <t xml:space="preserve">Культура, кинематография </t>
  </si>
  <si>
    <t>Функционирование высшего должностного лица субъекта Российской Федерации и муниципального образования</t>
  </si>
  <si>
    <t>Руководство и управление в сфере установленных функций органов местного самоуправления</t>
  </si>
  <si>
    <t xml:space="preserve">Доплаты к пенсиям муниципальных служащих </t>
  </si>
  <si>
    <t xml:space="preserve">Молодежная политика </t>
  </si>
  <si>
    <t>Субсидии бюджетам бюджетной системы Российской Федерации (межбюджетные субсидии)</t>
  </si>
  <si>
    <t>Прочие субсидии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</si>
  <si>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</si>
  <si>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Выполнение других обязательств муниципального образования</t>
  </si>
  <si>
    <t>Мероприятия в сфере молодежной политики</t>
  </si>
  <si>
    <t>Вид расходов</t>
  </si>
  <si>
    <t>по кодам классификации доходов бюджетов</t>
  </si>
  <si>
    <t>Процент исполнения к годовому плану (%)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</si>
  <si>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</si>
  <si>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Наименование расходов</t>
  </si>
  <si>
    <t>Омутнинского  района  Кировской области</t>
  </si>
  <si>
    <t xml:space="preserve"> к решению Восточной</t>
  </si>
  <si>
    <t>Утверждено сводной бюджетной росписью (тыс.рублей)</t>
  </si>
  <si>
    <t>Кассовое исполнение (тыс.рублей)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</si>
  <si>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</si>
  <si>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</si>
  <si>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Дотации бюджетам городских поселений на выравнивание бюджетной обеспеченности из бюджетов муниципальных районов</t>
  </si>
  <si>
    <t>Коммунальное хозяйство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</si>
  <si>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</si>
  <si>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</si>
  <si>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 xml:space="preserve">               Доходы бюджета муниципального образования</t>
  </si>
  <si>
    <t>ПРОЧИЕ НЕНАЛОГОВЫЕ ДОХОДЫ</t>
  </si>
  <si>
    <t>Изменение остатков средств на счетах по учету средств бюджетов</t>
  </si>
  <si>
    <t>40500 04110</t>
  </si>
  <si>
    <t>40500 04000</t>
  </si>
  <si>
    <t>40500 00000</t>
  </si>
  <si>
    <t>40200 00000</t>
  </si>
  <si>
    <t>40200 04000</t>
  </si>
  <si>
    <t>40200 04100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</si>
  <si>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</si>
  <si>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от "___" _______________ № ___ </t>
  </si>
  <si>
    <t xml:space="preserve">к Решению Восточной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</si>
  <si>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</si>
  <si>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Дотации бюджетам бюджетной системы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</si>
  <si>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</si>
  <si>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</si>
  <si>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</si>
  <si>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</si>
  <si>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 (Прочие межбюджетные трансферты, передаваемые бюджетам городских поселений из фонда поддержки инициатив населения на реализацию инициатив населения в области физической культуры и спорта)</t>
  </si>
  <si>
    <t>по кодам классификации источников финансирования дефицитов бюджетов за 2023 год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</si>
  <si>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градостроительного плана земельного участка, расположенного в границах поселения,выдача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нарушений.</t>
  </si>
  <si>
    <t>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</si>
  <si>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Финансовое обеспечение расходных обязательств муниципальных образований, возникающих при выполнении государственных полномочий</t>
  </si>
  <si>
    <t xml:space="preserve">Фонд поддержки инициатив населения </t>
  </si>
  <si>
    <t>Закупка товаров, работ и услуг для государственных (муниципальных) нужд</t>
  </si>
  <si>
    <t>Мероприятия по защите населения от чрезвычайных ситуаций и пожарной безопасности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</si>
  <si>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</si>
  <si>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</si>
  <si>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 xml:space="preserve">Муниципальная программа "Комплексное развитие систем коммунальной инфраструктуры Восточного городского поселения" </t>
  </si>
  <si>
    <t>60000 00000</t>
  </si>
  <si>
    <t>Реализация мероприятий, направленных на подготовку объектов коммунальной инфраструктуры к работе в осенне-зимний период</t>
  </si>
  <si>
    <t>Софинансирование расходных обязательств на реализацию мероприятий, направленных на подготовку объектов коммунальной инфраструктуры к работе в осенне-зимний период</t>
  </si>
  <si>
    <t>984</t>
  </si>
  <si>
    <t xml:space="preserve"> за 2024 год</t>
  </si>
  <si>
    <t>Расходы бюджета муниципального образования Восточное городское поселение Омутнинского района Кировской области по разделам и подразделам классификации расходов бюджетов за 2024 год</t>
  </si>
  <si>
    <t>Расходы бюджета муниципального образования Восточное городское поселение Омутнинского района Кировской области на реализацию муниципальных программ Восточного городского поселения за 2024 год</t>
  </si>
  <si>
    <t>Расходы бюджета муниципального образования Восточное городское поселение Омутнинского района Кировской области по ведомственной структуре расходов бюджета городского поселения за 2024 год</t>
  </si>
  <si>
    <t>Доходы бюджета - Всего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</si>
  <si>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</si>
  <si>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</si>
  <si>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</si>
  <si>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</si>
  <si>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</si>
  <si>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</si>
  <si>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</si>
  <si>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</si>
  <si>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</si>
  <si>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</si>
  <si>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</si>
  <si>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</si>
  <si>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</si>
  <si>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</si>
  <si>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</si>
  <si>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</si>
  <si>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</si>
  <si>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</si>
  <si>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</si>
  <si>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</si>
  <si>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</si>
  <si>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</si>
  <si>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</si>
  <si>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</si>
  <si>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Инициативные платежи</t>
  </si>
  <si>
    <t>Инициативные платежи, зачисляемые в бюджеты городских поселений</t>
  </si>
  <si>
    <t>Инициативные платежи. зачисляемые в бюджеты городских поселений (Инициативные платежи. зачисляемые в бюджеты городских поселений для реализации проекта:"асфальтирпование автопроезда по ул. Снежная д.7.п.Восточный")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</si>
  <si>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</si>
  <si>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</si>
  <si>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(гранты) бюджетам за достижение показателей деятельности органов местного самоуправления</t>
  </si>
  <si>
    <t>Дотации (гранты) бюджетам городских поселений за достижение показателей деятельности органов местного самоуправления</t>
  </si>
  <si>
    <t>Прочие субсидии бюджетам городских поселений (Субсидии бюджетам городских поселений на реализацию мероприятий,направленных на подготовку объектов коммунальной инфраструктуры к работе в осенне-зимний период)</t>
  </si>
  <si>
    <t>Прочие субсидии бюджетам городских поселений (Субсидии бюджетам городских поселений на софинансирование инвестиционных программ и проектов развития общественной инфраструктуры муниципальных образований – городских поселений в Кировской области)</t>
  </si>
  <si>
    <t>Прочие субсидии бюджетам городских поселений (Субсидии бюджетам городских поселений на реализацию мероприятий государственной программы Кировской области "Развитие физической культуры и спорта")</t>
  </si>
  <si>
    <t>Прочие субсидии бюджетам городских поселений (Субсидии бюджетам городских поселений на капитальный ремонт, ремонт и восстановление изношенных верхних слоев асфальтобетонных покрытий, устройство защитных слоев с устранением деформаций и повреждений покрытий автомобильных дорог общего пользования местного значения</t>
  </si>
  <si>
    <t>Прочие субсидии бюджетам городских поселений(Прочие субсидии бюджетам городских поселений на реализацию мероприятий по обустройству пешеходных переходов на автомобильных дорогах общего пользования местного значения)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</si>
  <si>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</si>
  <si>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</si>
  <si>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</si>
  <si>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 (Субвенции бюджетам городских поселений на выполнение передаваемых полномочий субъектов Российской Федерации по созданию и деятельности в муниципальных образованиях административной (ых) комиссии (ий) по рассмотрению дел об административных правонарушениях)</t>
  </si>
  <si>
    <t>Прочие межбюджетные трансферты, передаваемые бюджетам городских поселений</t>
  </si>
  <si>
    <t>Прочие межбюджетные трансферты, передаваемые бюджетам сельских поселений (Прочие межбюджетные трансферты на поддержку мер по обеспечению сбалансированности бюджетов)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</si>
  <si>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</si>
  <si>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</si>
  <si>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</si>
  <si>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</si>
  <si>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</si>
  <si>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Администратор</t>
  </si>
  <si>
    <t>Код дохода по бюджетной классификации</t>
  </si>
  <si>
    <t>Утвержденные бюджетные назначения, тыс. руб.</t>
  </si>
  <si>
    <t>Исполнение (тыс. руб.)</t>
  </si>
  <si>
    <t>182</t>
  </si>
  <si>
    <t>10000000000000000</t>
  </si>
  <si>
    <t>10100000000000000</t>
  </si>
  <si>
    <t>10102000010000110</t>
  </si>
  <si>
    <t>10102010010000110</t>
  </si>
  <si>
    <t>10102020010000110</t>
  </si>
  <si>
    <t>10102030010000110</t>
  </si>
  <si>
    <t>10102140010000110</t>
  </si>
  <si>
    <t>10300000000000000</t>
  </si>
  <si>
    <t>10302000010000110</t>
  </si>
  <si>
    <t>10302230010000110</t>
  </si>
  <si>
    <t>10302231010000110</t>
  </si>
  <si>
    <t>10302240010000110</t>
  </si>
  <si>
    <t>10302241010000110</t>
  </si>
  <si>
    <t>10302250010000110</t>
  </si>
  <si>
    <t>10302251010000110</t>
  </si>
  <si>
    <t>10302260010000110</t>
  </si>
  <si>
    <t>10302261010000110</t>
  </si>
  <si>
    <t>10600000000000000</t>
  </si>
  <si>
    <t>10601000000000110</t>
  </si>
  <si>
    <t>10601030130000110</t>
  </si>
  <si>
    <t>10606000000000110</t>
  </si>
  <si>
    <t>10606030000000110</t>
  </si>
  <si>
    <t>10606033130000110</t>
  </si>
  <si>
    <t>10606040000000110</t>
  </si>
  <si>
    <t>10606043130000110</t>
  </si>
  <si>
    <t>919</t>
  </si>
  <si>
    <t>11100000000000000</t>
  </si>
  <si>
    <t>11105000000000120</t>
  </si>
  <si>
    <t>11105010000000120</t>
  </si>
  <si>
    <t>11105013130000120</t>
  </si>
  <si>
    <t>10800000000000000</t>
  </si>
  <si>
    <t>10804000010000110</t>
  </si>
  <si>
    <t>10804020010000110</t>
  </si>
  <si>
    <t>11107000000000120</t>
  </si>
  <si>
    <t>11107010000000120</t>
  </si>
  <si>
    <t>11107015130000120</t>
  </si>
  <si>
    <t>11600000000000000</t>
  </si>
  <si>
    <t>11602000020000140</t>
  </si>
  <si>
    <t>11602020020000140</t>
  </si>
  <si>
    <t>11607000000000140</t>
  </si>
  <si>
    <t>11607010000000140</t>
  </si>
  <si>
    <t>11607010130000140</t>
  </si>
  <si>
    <t>11700000000000000</t>
  </si>
  <si>
    <t>11715000000000150</t>
  </si>
  <si>
    <t>11715030130000150</t>
  </si>
  <si>
    <t>11715030130006150</t>
  </si>
  <si>
    <t>20000000000000000</t>
  </si>
  <si>
    <t>20200000000000000</t>
  </si>
  <si>
    <t>20210000000000150</t>
  </si>
  <si>
    <t>20216001000000150</t>
  </si>
  <si>
    <t>20216001130000150</t>
  </si>
  <si>
    <t>20216549000000150</t>
  </si>
  <si>
    <t>20216549130000150</t>
  </si>
  <si>
    <t>20220000000000150</t>
  </si>
  <si>
    <t>20229999000000150</t>
  </si>
  <si>
    <t>20229999130000150</t>
  </si>
  <si>
    <t>20229999130102150</t>
  </si>
  <si>
    <t>20229999130105150</t>
  </si>
  <si>
    <t>20229999130321150</t>
  </si>
  <si>
    <t>20229999130325150</t>
  </si>
  <si>
    <t>20229999130327150</t>
  </si>
  <si>
    <t>20230000000000150</t>
  </si>
  <si>
    <t>20230024000000150</t>
  </si>
  <si>
    <t>20230024130000150</t>
  </si>
  <si>
    <t>20230024137000150</t>
  </si>
  <si>
    <t>20235118000000150</t>
  </si>
  <si>
    <t>20235118130000150</t>
  </si>
  <si>
    <t>20240000000000150</t>
  </si>
  <si>
    <t>20249999000000150</t>
  </si>
  <si>
    <t>20249999130000150</t>
  </si>
  <si>
    <t>20249999130007150</t>
  </si>
  <si>
    <t>20249999130021150</t>
  </si>
  <si>
    <t>994</t>
  </si>
  <si>
    <t>11105070000000120</t>
  </si>
  <si>
    <t>11105075130000120</t>
  </si>
  <si>
    <t>11109000000000120</t>
  </si>
  <si>
    <t>11109040000000120</t>
  </si>
  <si>
    <t>11109045130000120</t>
  </si>
  <si>
    <t>Х</t>
  </si>
  <si>
    <t>Утверждено сводной бюджетной росписью (тыс. руб.)</t>
  </si>
  <si>
    <t>Факт (тыс. руб.)</t>
  </si>
  <si>
    <t>Факт  (тыс. руб.)</t>
  </si>
  <si>
    <t>Достижение показателей деятельности органов исполнительной власти (органов местного самоуправления) Кировской области</t>
  </si>
  <si>
    <t>Создание и деятельность в муниципальных образованиях административных комиссий</t>
  </si>
  <si>
    <t>Мероприятия по обустройству пешеходных переходов на автомобильных дорогах общего пользования местного значения</t>
  </si>
  <si>
    <t>Капитальный ремонт, ремонт и восстановление изношенных верхних слоев асфальтобетонных покрытий, устройство защитных слоев с устранением деформаций и повреждений покрытий автомобильных дорог общего пользования местного значения</t>
  </si>
  <si>
    <t>00000000000000000</t>
  </si>
  <si>
    <t>Администрация Восточного городского поселения</t>
  </si>
  <si>
    <t xml:space="preserve">Финансовое обеспечение расходных обязательств муниципальных образований, возникающих при выполнении государственных полномочий </t>
  </si>
  <si>
    <t xml:space="preserve">Финансовое обеспечение расходных обязательств муниципального образования, возникающих при выполнении переданных полномочий </t>
  </si>
  <si>
    <t>Отдел по управлению муниципальным имуществом при администрации муниципального образования Восточное городское поселение</t>
  </si>
  <si>
    <t xml:space="preserve">000 </t>
  </si>
  <si>
    <t>Раз-дел</t>
  </si>
  <si>
    <t xml:space="preserve"> Вид расходов</t>
  </si>
  <si>
    <t>Факт (тыс.руб.)</t>
  </si>
  <si>
    <t>Наименование расхода</t>
  </si>
  <si>
    <t>Код главного распорядителя средств</t>
  </si>
  <si>
    <t>40Q14 55490</t>
  </si>
  <si>
    <t>40Q20 16000</t>
  </si>
  <si>
    <t xml:space="preserve">Создание и деятельность в муниципальных образованиях административных комиссий </t>
  </si>
  <si>
    <t>40Q20 16050</t>
  </si>
  <si>
    <t>40Q00 00000</t>
  </si>
  <si>
    <t>Осуществление переданных полномочий Российской Федерации по осуществлению первичного воинского учета органами местного самоуправления поселений, муниципальных и городских округов</t>
  </si>
  <si>
    <t>40Q20 51180</t>
  </si>
  <si>
    <t>Другие вопросы в области национальной безопасности и правоохранительной деятельности</t>
  </si>
  <si>
    <t>Оказание поддержки гражданам и их объединениям,участвующим в охране общественного порядка, создание условий для деятельности народных дружин</t>
  </si>
  <si>
    <t>40Q28 15210</t>
  </si>
  <si>
    <t xml:space="preserve">Софинансирование расходов на капитальный ремонт, ремонт и восстановление изношенных верхних слоев асфальтобетонных покрытий, устройство защитных слоев с устранением деформаций и повреждений покрытий автомобильных дорог общего пользования местного значения </t>
  </si>
  <si>
    <t>40Q28 S5210</t>
  </si>
  <si>
    <t>404R3 15190</t>
  </si>
  <si>
    <t>Софинансирование расходов на мероприятия по обустройству пешеходных переходов на автомобильных дорогах общего пользования местного значения</t>
  </si>
  <si>
    <t>404R3 S5190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</si>
  <si>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градостроительного плана земельного участка, расположенного в границах поселения, выдача разрешений на строительство (за исключением случаев, предусмотренных Градостроитеьным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</si>
  <si>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60U05 15490</t>
  </si>
  <si>
    <t>60U05 S5490</t>
  </si>
  <si>
    <t>Мероприятия, не вошедшие в подпрограммы</t>
  </si>
  <si>
    <t>40U0F 00000</t>
  </si>
  <si>
    <t>Проект местных инициатив</t>
  </si>
  <si>
    <t>Инвестиционные программы и проекты развития общественной инфраструктуры муниципальных образований Кировской области (Асфальтирование автопроезда по ул. Снежная д.7, п. Восточный)</t>
  </si>
  <si>
    <t>40U0F 15171</t>
  </si>
  <si>
    <t>Софинансирование инициативных проектов по развитию общественной инфраструктуры муниципальных образований Кировской области (Асфальтирование автопроезда по ул. Снежная д.7, п. Восточный)</t>
  </si>
  <si>
    <t>40U0F S5171</t>
  </si>
  <si>
    <t>40U0F И5171</t>
  </si>
  <si>
    <t>Софинансирование инициативных проектов по развитию общественной инфраструктуры муниципальных образований Кировской области (Асфальтирование автопроезда по ул. Снежная д.7, п. Восточный) - сверх суммы соглашения</t>
  </si>
  <si>
    <t>40600 S5171</t>
  </si>
  <si>
    <t>Софинансирование расходов на мероприятия государственной программы Кировской области "Развитие физической культуры и спорта" - сверх суммы соглашения</t>
  </si>
  <si>
    <t>40500 S5011</t>
  </si>
  <si>
    <t>Мероприятия государственной программы Кировской области "Развитие физической культуры и спорта"</t>
  </si>
  <si>
    <t>40U0J 15010</t>
  </si>
  <si>
    <t>Софинансирование расходов на мероприятия государственной программы Кировской области "Развитие физической культуры и спорта"</t>
  </si>
  <si>
    <t>40U0J S5010</t>
  </si>
  <si>
    <t>40Q12 27000</t>
  </si>
  <si>
    <t>Подраз-дел</t>
  </si>
  <si>
    <t>60U05 15000</t>
  </si>
</sst>
</file>

<file path=xl/styles.xml><?xml version="1.0" encoding="utf-8"?>
<styleSheet xmlns="http://schemas.openxmlformats.org/spreadsheetml/2006/main">
  <numFmts count="3">
    <numFmt numFmtId="172" formatCode="0.0"/>
    <numFmt numFmtId="179" formatCode="#,##0.0"/>
    <numFmt numFmtId="180" formatCode="#,##0.000"/>
  </numFmts>
  <fonts count="1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3">
      <alignment horizontal="left" wrapText="1" indent="2"/>
    </xf>
    <xf numFmtId="49" fontId="8" fillId="0" borderId="4">
      <alignment horizontal="center"/>
    </xf>
  </cellStyleXfs>
  <cellXfs count="95"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180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11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NumberFormat="1" applyFont="1" applyFill="1" applyBorder="1" applyAlignment="1">
      <alignment horizontal="justify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1" fontId="10" fillId="0" borderId="1" xfId="0" applyNumberFormat="1" applyFont="1" applyFill="1" applyBorder="1" applyAlignment="1">
      <alignment horizontal="left" vertical="center" wrapText="1"/>
    </xf>
    <xf numFmtId="11" fontId="1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/>
    </xf>
    <xf numFmtId="11" fontId="3" fillId="0" borderId="1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3">
    <cellStyle name="xl30" xfId="1"/>
    <cellStyle name="xl41" xfId="2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F93"/>
  <sheetViews>
    <sheetView tabSelected="1" zoomScale="130" zoomScaleNormal="130" workbookViewId="0">
      <selection activeCell="E16" sqref="E16"/>
    </sheetView>
  </sheetViews>
  <sheetFormatPr defaultColWidth="9.109375" defaultRowHeight="13.2" outlineLevelRow="1"/>
  <cols>
    <col min="1" max="1" width="9.109375" style="2"/>
    <col min="2" max="2" width="21.88671875" style="1" bestFit="1" customWidth="1"/>
    <col min="3" max="3" width="86.88671875" style="4" customWidth="1"/>
    <col min="4" max="4" width="13" style="4" bestFit="1" customWidth="1"/>
    <col min="5" max="5" width="13" style="2" bestFit="1" customWidth="1"/>
    <col min="6" max="6" width="9.33203125" style="3" customWidth="1"/>
    <col min="7" max="16384" width="9.109375" style="2"/>
  </cols>
  <sheetData>
    <row r="1" spans="1:6" ht="13.5" customHeight="1">
      <c r="D1" s="87" t="s">
        <v>124</v>
      </c>
      <c r="E1" s="87"/>
      <c r="F1" s="87"/>
    </row>
    <row r="2" spans="1:6" ht="13.5" customHeight="1">
      <c r="D2" s="88" t="s">
        <v>203</v>
      </c>
      <c r="E2" s="88"/>
      <c r="F2" s="88"/>
    </row>
    <row r="3" spans="1:6" ht="13.5" customHeight="1">
      <c r="D3" s="87" t="s">
        <v>78</v>
      </c>
      <c r="E3" s="87"/>
      <c r="F3" s="87"/>
    </row>
    <row r="4" spans="1:6" ht="13.5" customHeight="1">
      <c r="D4" s="88" t="s">
        <v>222</v>
      </c>
      <c r="E4" s="88"/>
      <c r="F4" s="88"/>
    </row>
    <row r="5" spans="1:6" outlineLevel="1">
      <c r="C5" s="86"/>
      <c r="D5" s="86"/>
      <c r="E5" s="86"/>
      <c r="F5" s="86"/>
    </row>
    <row r="6" spans="1:6">
      <c r="B6" s="84" t="s">
        <v>212</v>
      </c>
      <c r="C6" s="84"/>
      <c r="D6" s="84"/>
      <c r="E6" s="84"/>
      <c r="F6" s="84"/>
    </row>
    <row r="7" spans="1:6">
      <c r="B7" s="84" t="s">
        <v>49</v>
      </c>
      <c r="C7" s="84"/>
      <c r="D7" s="84"/>
      <c r="E7" s="84"/>
      <c r="F7" s="84"/>
    </row>
    <row r="8" spans="1:6">
      <c r="B8" s="84" t="s">
        <v>198</v>
      </c>
      <c r="C8" s="84"/>
      <c r="D8" s="84"/>
      <c r="E8" s="84"/>
      <c r="F8" s="84"/>
    </row>
    <row r="9" spans="1:6">
      <c r="B9" s="85" t="s">
        <v>245</v>
      </c>
      <c r="C9" s="85"/>
      <c r="D9" s="85"/>
      <c r="E9" s="85"/>
      <c r="F9" s="85"/>
    </row>
    <row r="10" spans="1:6" s="3" customFormat="1" ht="66">
      <c r="A10" s="39" t="s">
        <v>297</v>
      </c>
      <c r="B10" s="39" t="s">
        <v>298</v>
      </c>
      <c r="C10" s="12" t="s">
        <v>87</v>
      </c>
      <c r="D10" s="12" t="s">
        <v>299</v>
      </c>
      <c r="E10" s="12" t="s">
        <v>300</v>
      </c>
      <c r="F10" s="12" t="s">
        <v>199</v>
      </c>
    </row>
    <row r="11" spans="1:6">
      <c r="A11" s="40" t="s">
        <v>91</v>
      </c>
      <c r="B11" s="40" t="s">
        <v>388</v>
      </c>
      <c r="C11" s="40" t="s">
        <v>249</v>
      </c>
      <c r="D11" s="41">
        <f>37189372/1000</f>
        <v>37189.372000000003</v>
      </c>
      <c r="E11" s="41">
        <f>37620793.58/1000</f>
        <v>37620.793579999998</v>
      </c>
      <c r="F11" s="13">
        <f>E11/D11*100</f>
        <v>101.16006685996201</v>
      </c>
    </row>
    <row r="12" spans="1:6">
      <c r="A12" s="40" t="s">
        <v>301</v>
      </c>
      <c r="B12" s="40" t="s">
        <v>302</v>
      </c>
      <c r="C12" s="40" t="s">
        <v>14</v>
      </c>
      <c r="D12" s="41">
        <f>11239900/1000</f>
        <v>11239.9</v>
      </c>
      <c r="E12" s="41">
        <f>12196107.47/1000</f>
        <v>12196.107470000001</v>
      </c>
      <c r="F12" s="13">
        <f t="shared" ref="F12:F74" si="0">E12/D12*100</f>
        <v>108.50725958416001</v>
      </c>
    </row>
    <row r="13" spans="1:6">
      <c r="A13" s="40" t="s">
        <v>301</v>
      </c>
      <c r="B13" s="40" t="s">
        <v>303</v>
      </c>
      <c r="C13" s="40" t="s">
        <v>81</v>
      </c>
      <c r="D13" s="41">
        <f>9165000/1000</f>
        <v>9165</v>
      </c>
      <c r="E13" s="41">
        <f>10090525.43/1000</f>
        <v>10090.52543</v>
      </c>
      <c r="F13" s="13">
        <f t="shared" si="0"/>
        <v>110.09847714129842</v>
      </c>
    </row>
    <row r="14" spans="1:6">
      <c r="A14" s="40" t="s">
        <v>301</v>
      </c>
      <c r="B14" s="40" t="s">
        <v>304</v>
      </c>
      <c r="C14" s="40" t="s">
        <v>80</v>
      </c>
      <c r="D14" s="41">
        <f>9165000/1000</f>
        <v>9165</v>
      </c>
      <c r="E14" s="41">
        <f>10090525.43/1000</f>
        <v>10090.52543</v>
      </c>
      <c r="F14" s="13">
        <f t="shared" si="0"/>
        <v>110.09847714129842</v>
      </c>
    </row>
    <row r="15" spans="1:6" ht="66">
      <c r="A15" s="40" t="s">
        <v>301</v>
      </c>
      <c r="B15" s="40" t="s">
        <v>305</v>
      </c>
      <c r="C15" s="42" t="s">
        <v>250</v>
      </c>
      <c r="D15" s="41">
        <f>9155300/1000</f>
        <v>9155.2999999999993</v>
      </c>
      <c r="E15" s="41">
        <f>10016608.44/1000</f>
        <v>10016.60844</v>
      </c>
      <c r="F15" s="13">
        <f t="shared" si="0"/>
        <v>109.40775769226569</v>
      </c>
    </row>
    <row r="16" spans="1:6" ht="52.8">
      <c r="A16" s="40" t="s">
        <v>301</v>
      </c>
      <c r="B16" s="40" t="s">
        <v>306</v>
      </c>
      <c r="C16" s="42" t="s">
        <v>224</v>
      </c>
      <c r="D16" s="41">
        <f>3500/1000</f>
        <v>3.5</v>
      </c>
      <c r="E16" s="41">
        <f>6738.49/1000</f>
        <v>6.7384899999999996</v>
      </c>
      <c r="F16" s="13">
        <f t="shared" si="0"/>
        <v>192.52828571428572</v>
      </c>
    </row>
    <row r="17" spans="1:6" ht="52.8">
      <c r="A17" s="40" t="s">
        <v>301</v>
      </c>
      <c r="B17" s="40" t="s">
        <v>307</v>
      </c>
      <c r="C17" s="42" t="s">
        <v>251</v>
      </c>
      <c r="D17" s="41">
        <f>6200/1000</f>
        <v>6.2</v>
      </c>
      <c r="E17" s="41">
        <f>34306.9/1000</f>
        <v>34.306899999999999</v>
      </c>
      <c r="F17" s="13">
        <f t="shared" si="0"/>
        <v>553.33709677419347</v>
      </c>
    </row>
    <row r="18" spans="1:6" ht="39.6">
      <c r="A18" s="40" t="s">
        <v>301</v>
      </c>
      <c r="B18" s="40" t="s">
        <v>308</v>
      </c>
      <c r="C18" s="40" t="s">
        <v>252</v>
      </c>
      <c r="D18" s="41">
        <v>0</v>
      </c>
      <c r="E18" s="41">
        <f>32871.6/1000</f>
        <v>32.871600000000001</v>
      </c>
      <c r="F18" s="13" t="s">
        <v>380</v>
      </c>
    </row>
    <row r="19" spans="1:6" ht="26.4">
      <c r="A19" s="40" t="s">
        <v>301</v>
      </c>
      <c r="B19" s="40" t="s">
        <v>309</v>
      </c>
      <c r="C19" s="40" t="s">
        <v>64</v>
      </c>
      <c r="D19" s="41">
        <f>88900/1000</f>
        <v>88.9</v>
      </c>
      <c r="E19" s="41">
        <f>92524.18/1000</f>
        <v>92.524179999999987</v>
      </c>
      <c r="F19" s="13">
        <f t="shared" si="0"/>
        <v>104.07669291338581</v>
      </c>
    </row>
    <row r="20" spans="1:6">
      <c r="A20" s="40" t="s">
        <v>301</v>
      </c>
      <c r="B20" s="40" t="s">
        <v>310</v>
      </c>
      <c r="C20" s="40" t="s">
        <v>76</v>
      </c>
      <c r="D20" s="41">
        <f>88900/1000</f>
        <v>88.9</v>
      </c>
      <c r="E20" s="41">
        <f>92524.18/1000</f>
        <v>92.524179999999987</v>
      </c>
      <c r="F20" s="13">
        <f t="shared" si="0"/>
        <v>104.07669291338581</v>
      </c>
    </row>
    <row r="21" spans="1:6" ht="39.6">
      <c r="A21" s="40" t="s">
        <v>301</v>
      </c>
      <c r="B21" s="40" t="s">
        <v>311</v>
      </c>
      <c r="C21" s="40" t="s">
        <v>253</v>
      </c>
      <c r="D21" s="41">
        <f>46400/1000</f>
        <v>46.4</v>
      </c>
      <c r="E21" s="41">
        <f>47801.21/1000</f>
        <v>47.801209999999998</v>
      </c>
      <c r="F21" s="13">
        <f t="shared" si="0"/>
        <v>103.01984913793103</v>
      </c>
    </row>
    <row r="22" spans="1:6" ht="52.8">
      <c r="A22" s="40" t="s">
        <v>301</v>
      </c>
      <c r="B22" s="40" t="s">
        <v>312</v>
      </c>
      <c r="C22" s="42" t="s">
        <v>254</v>
      </c>
      <c r="D22" s="41">
        <f>46400/1000</f>
        <v>46.4</v>
      </c>
      <c r="E22" s="41">
        <f>47801.21/1000</f>
        <v>47.801209999999998</v>
      </c>
      <c r="F22" s="13">
        <f t="shared" si="0"/>
        <v>103.01984913793103</v>
      </c>
    </row>
    <row r="23" spans="1:6" ht="52.8">
      <c r="A23" s="40" t="s">
        <v>301</v>
      </c>
      <c r="B23" s="40" t="s">
        <v>313</v>
      </c>
      <c r="C23" s="42" t="s">
        <v>255</v>
      </c>
      <c r="D23" s="41">
        <f>200/1000</f>
        <v>0.2</v>
      </c>
      <c r="E23" s="41">
        <f>276.22/1000</f>
        <v>0.27622000000000002</v>
      </c>
      <c r="F23" s="13">
        <f t="shared" si="0"/>
        <v>138.11000000000001</v>
      </c>
    </row>
    <row r="24" spans="1:6" ht="66" outlineLevel="1">
      <c r="A24" s="40" t="s">
        <v>301</v>
      </c>
      <c r="B24" s="40" t="s">
        <v>314</v>
      </c>
      <c r="C24" s="42" t="s">
        <v>256</v>
      </c>
      <c r="D24" s="41">
        <f>200/1000</f>
        <v>0.2</v>
      </c>
      <c r="E24" s="41">
        <f>276.22/1000</f>
        <v>0.27622000000000002</v>
      </c>
      <c r="F24" s="13">
        <f t="shared" si="0"/>
        <v>138.11000000000001</v>
      </c>
    </row>
    <row r="25" spans="1:6" ht="39.6" outlineLevel="1">
      <c r="A25" s="40" t="s">
        <v>301</v>
      </c>
      <c r="B25" s="40" t="s">
        <v>315</v>
      </c>
      <c r="C25" s="40" t="s">
        <v>257</v>
      </c>
      <c r="D25" s="41">
        <f>48100/1000</f>
        <v>48.1</v>
      </c>
      <c r="E25" s="41">
        <f>49649.73/1000</f>
        <v>49.649730000000005</v>
      </c>
      <c r="F25" s="13">
        <f t="shared" si="0"/>
        <v>103.2218918918919</v>
      </c>
    </row>
    <row r="26" spans="1:6" ht="52.8">
      <c r="A26" s="40" t="s">
        <v>301</v>
      </c>
      <c r="B26" s="40" t="s">
        <v>316</v>
      </c>
      <c r="C26" s="42" t="s">
        <v>258</v>
      </c>
      <c r="D26" s="41">
        <f>48100/1000</f>
        <v>48.1</v>
      </c>
      <c r="E26" s="41">
        <f>49649.73/1000</f>
        <v>49.649730000000005</v>
      </c>
      <c r="F26" s="13">
        <f t="shared" si="0"/>
        <v>103.2218918918919</v>
      </c>
    </row>
    <row r="27" spans="1:6" ht="39.6">
      <c r="A27" s="40" t="s">
        <v>301</v>
      </c>
      <c r="B27" s="40" t="s">
        <v>317</v>
      </c>
      <c r="C27" s="40" t="s">
        <v>259</v>
      </c>
      <c r="D27" s="41">
        <f>-5800/1000</f>
        <v>-5.8</v>
      </c>
      <c r="E27" s="41">
        <f>-5202.98/1000</f>
        <v>-5.2029799999999993</v>
      </c>
      <c r="F27" s="13">
        <f t="shared" si="0"/>
        <v>89.706551724137924</v>
      </c>
    </row>
    <row r="28" spans="1:6" ht="52.8">
      <c r="A28" s="40" t="s">
        <v>301</v>
      </c>
      <c r="B28" s="40" t="s">
        <v>318</v>
      </c>
      <c r="C28" s="42" t="s">
        <v>260</v>
      </c>
      <c r="D28" s="41">
        <f>-5800/1000</f>
        <v>-5.8</v>
      </c>
      <c r="E28" s="41">
        <f>-5202.98/1000</f>
        <v>-5.2029799999999993</v>
      </c>
      <c r="F28" s="13">
        <f t="shared" si="0"/>
        <v>89.706551724137924</v>
      </c>
    </row>
    <row r="29" spans="1:6">
      <c r="A29" s="40" t="s">
        <v>301</v>
      </c>
      <c r="B29" s="40" t="s">
        <v>319</v>
      </c>
      <c r="C29" s="40" t="s">
        <v>82</v>
      </c>
      <c r="D29" s="41">
        <f>1986000/1000</f>
        <v>1986</v>
      </c>
      <c r="E29" s="41">
        <f>2013057.86/1000</f>
        <v>2013.0578600000001</v>
      </c>
      <c r="F29" s="13">
        <f t="shared" si="0"/>
        <v>101.3624300100705</v>
      </c>
    </row>
    <row r="30" spans="1:6" ht="13.5" customHeight="1">
      <c r="A30" s="40" t="s">
        <v>301</v>
      </c>
      <c r="B30" s="40" t="s">
        <v>320</v>
      </c>
      <c r="C30" s="40" t="s">
        <v>83</v>
      </c>
      <c r="D30" s="41">
        <f>1544000/1000</f>
        <v>1544</v>
      </c>
      <c r="E30" s="41">
        <f>1713417.6/1000</f>
        <v>1713.4176</v>
      </c>
      <c r="F30" s="13">
        <f t="shared" si="0"/>
        <v>110.97264248704664</v>
      </c>
    </row>
    <row r="31" spans="1:6" ht="26.4">
      <c r="A31" s="40" t="s">
        <v>301</v>
      </c>
      <c r="B31" s="40" t="s">
        <v>321</v>
      </c>
      <c r="C31" s="40" t="s">
        <v>118</v>
      </c>
      <c r="D31" s="41">
        <f>1544000/1000</f>
        <v>1544</v>
      </c>
      <c r="E31" s="41">
        <f>1713417.6/1000</f>
        <v>1713.4176</v>
      </c>
      <c r="F31" s="13">
        <f t="shared" si="0"/>
        <v>110.97264248704664</v>
      </c>
    </row>
    <row r="32" spans="1:6">
      <c r="A32" s="40" t="s">
        <v>301</v>
      </c>
      <c r="B32" s="40" t="s">
        <v>322</v>
      </c>
      <c r="C32" s="40" t="s">
        <v>84</v>
      </c>
      <c r="D32" s="41">
        <f>442000/1000</f>
        <v>442</v>
      </c>
      <c r="E32" s="41">
        <f>299640.26/1000</f>
        <v>299.64026000000001</v>
      </c>
      <c r="F32" s="13">
        <f t="shared" si="0"/>
        <v>67.791914027149318</v>
      </c>
    </row>
    <row r="33" spans="1:6" ht="13.5" customHeight="1">
      <c r="A33" s="40" t="s">
        <v>301</v>
      </c>
      <c r="B33" s="40" t="s">
        <v>323</v>
      </c>
      <c r="C33" s="40" t="s">
        <v>261</v>
      </c>
      <c r="D33" s="41">
        <f>353000/1000</f>
        <v>353</v>
      </c>
      <c r="E33" s="41">
        <f>151753.25/1000</f>
        <v>151.75325000000001</v>
      </c>
      <c r="F33" s="13">
        <f t="shared" si="0"/>
        <v>42.989589235127482</v>
      </c>
    </row>
    <row r="34" spans="1:6" ht="26.4">
      <c r="A34" s="40" t="s">
        <v>301</v>
      </c>
      <c r="B34" s="40" t="s">
        <v>324</v>
      </c>
      <c r="C34" s="40" t="s">
        <v>262</v>
      </c>
      <c r="D34" s="41">
        <f>353000/1000</f>
        <v>353</v>
      </c>
      <c r="E34" s="41">
        <f>151753.25/1000</f>
        <v>151.75325000000001</v>
      </c>
      <c r="F34" s="13">
        <f t="shared" si="0"/>
        <v>42.989589235127482</v>
      </c>
    </row>
    <row r="35" spans="1:6">
      <c r="A35" s="40" t="s">
        <v>301</v>
      </c>
      <c r="B35" s="40" t="s">
        <v>325</v>
      </c>
      <c r="C35" s="40" t="s">
        <v>117</v>
      </c>
      <c r="D35" s="41">
        <f>89000/1000</f>
        <v>89</v>
      </c>
      <c r="E35" s="41">
        <f>147887.01/1000</f>
        <v>147.88701</v>
      </c>
      <c r="F35" s="13">
        <f t="shared" si="0"/>
        <v>166.1651797752809</v>
      </c>
    </row>
    <row r="36" spans="1:6" ht="26.4">
      <c r="A36" s="40" t="s">
        <v>301</v>
      </c>
      <c r="B36" s="40" t="s">
        <v>326</v>
      </c>
      <c r="C36" s="40" t="s">
        <v>263</v>
      </c>
      <c r="D36" s="41">
        <f>89000/1000</f>
        <v>89</v>
      </c>
      <c r="E36" s="41">
        <f>147887.01/1000</f>
        <v>147.88701</v>
      </c>
      <c r="F36" s="13">
        <f t="shared" si="0"/>
        <v>166.1651797752809</v>
      </c>
    </row>
    <row r="37" spans="1:6">
      <c r="A37" s="40" t="s">
        <v>327</v>
      </c>
      <c r="B37" s="40" t="s">
        <v>302</v>
      </c>
      <c r="C37" s="40" t="s">
        <v>14</v>
      </c>
      <c r="D37" s="41">
        <f>301400/1000</f>
        <v>301.39999999999998</v>
      </c>
      <c r="E37" s="41">
        <f>301111.49/1000</f>
        <v>301.11149</v>
      </c>
      <c r="F37" s="13">
        <f t="shared" si="0"/>
        <v>99.904276708692777</v>
      </c>
    </row>
    <row r="38" spans="1:6" ht="26.4">
      <c r="A38" s="40" t="s">
        <v>327</v>
      </c>
      <c r="B38" s="40" t="s">
        <v>328</v>
      </c>
      <c r="C38" s="40" t="s">
        <v>264</v>
      </c>
      <c r="D38" s="41">
        <f>301400/1000</f>
        <v>301.39999999999998</v>
      </c>
      <c r="E38" s="41">
        <f>301111.49/1000</f>
        <v>301.11149</v>
      </c>
      <c r="F38" s="13">
        <f t="shared" si="0"/>
        <v>99.904276708692777</v>
      </c>
    </row>
    <row r="39" spans="1:6" ht="52.8">
      <c r="A39" s="40" t="s">
        <v>327</v>
      </c>
      <c r="B39" s="40" t="s">
        <v>329</v>
      </c>
      <c r="C39" s="42" t="s">
        <v>265</v>
      </c>
      <c r="D39" s="41">
        <f>301400/1000</f>
        <v>301.39999999999998</v>
      </c>
      <c r="E39" s="41">
        <f>301111.49/1000</f>
        <v>301.11149</v>
      </c>
      <c r="F39" s="13">
        <f t="shared" si="0"/>
        <v>99.904276708692777</v>
      </c>
    </row>
    <row r="40" spans="1:6" ht="39.6">
      <c r="A40" s="40" t="s">
        <v>327</v>
      </c>
      <c r="B40" s="40" t="s">
        <v>330</v>
      </c>
      <c r="C40" s="40" t="s">
        <v>266</v>
      </c>
      <c r="D40" s="41">
        <f>301400/1000</f>
        <v>301.39999999999998</v>
      </c>
      <c r="E40" s="41">
        <f>301111.49/1000</f>
        <v>301.11149</v>
      </c>
      <c r="F40" s="13">
        <f t="shared" si="0"/>
        <v>99.904276708692777</v>
      </c>
    </row>
    <row r="41" spans="1:6" ht="39.6">
      <c r="A41" s="40" t="s">
        <v>327</v>
      </c>
      <c r="B41" s="40" t="s">
        <v>331</v>
      </c>
      <c r="C41" s="42" t="s">
        <v>267</v>
      </c>
      <c r="D41" s="41">
        <f>301400/1000</f>
        <v>301.39999999999998</v>
      </c>
      <c r="E41" s="41">
        <f>301111.49/1000</f>
        <v>301.11149</v>
      </c>
      <c r="F41" s="13">
        <f t="shared" si="0"/>
        <v>99.904276708692777</v>
      </c>
    </row>
    <row r="42" spans="1:6">
      <c r="A42" s="40" t="s">
        <v>244</v>
      </c>
      <c r="B42" s="40" t="s">
        <v>302</v>
      </c>
      <c r="C42" s="40" t="s">
        <v>14</v>
      </c>
      <c r="D42" s="41">
        <f>860700/1000</f>
        <v>860.7</v>
      </c>
      <c r="E42" s="41">
        <f>858128.07/1000</f>
        <v>858.12806999999998</v>
      </c>
      <c r="F42" s="13">
        <f t="shared" si="0"/>
        <v>99.701181596375037</v>
      </c>
    </row>
    <row r="43" spans="1:6">
      <c r="A43" s="40" t="s">
        <v>244</v>
      </c>
      <c r="B43" s="40" t="s">
        <v>332</v>
      </c>
      <c r="C43" s="40" t="s">
        <v>85</v>
      </c>
      <c r="D43" s="41">
        <f>13900/1000</f>
        <v>13.9</v>
      </c>
      <c r="E43" s="41">
        <f>15420/1000</f>
        <v>15.42</v>
      </c>
      <c r="F43" s="13">
        <f t="shared" si="0"/>
        <v>110.93525179856114</v>
      </c>
    </row>
    <row r="44" spans="1:6" ht="26.4">
      <c r="A44" s="40" t="s">
        <v>244</v>
      </c>
      <c r="B44" s="40" t="s">
        <v>333</v>
      </c>
      <c r="C44" s="40" t="s">
        <v>200</v>
      </c>
      <c r="D44" s="41">
        <f>13900/1000</f>
        <v>13.9</v>
      </c>
      <c r="E44" s="41">
        <f>15420/1000</f>
        <v>15.42</v>
      </c>
      <c r="F44" s="13">
        <f t="shared" si="0"/>
        <v>110.93525179856114</v>
      </c>
    </row>
    <row r="45" spans="1:6" ht="39.6">
      <c r="A45" s="40" t="s">
        <v>244</v>
      </c>
      <c r="B45" s="40" t="s">
        <v>334</v>
      </c>
      <c r="C45" s="40" t="s">
        <v>194</v>
      </c>
      <c r="D45" s="41">
        <f>13900/1000</f>
        <v>13.9</v>
      </c>
      <c r="E45" s="41">
        <f>15420/1000</f>
        <v>15.42</v>
      </c>
      <c r="F45" s="13">
        <f t="shared" si="0"/>
        <v>110.93525179856114</v>
      </c>
    </row>
    <row r="46" spans="1:6" ht="26.4">
      <c r="A46" s="40" t="s">
        <v>244</v>
      </c>
      <c r="B46" s="40" t="s">
        <v>328</v>
      </c>
      <c r="C46" s="40" t="s">
        <v>264</v>
      </c>
      <c r="D46" s="41">
        <f t="shared" ref="D46:E49" si="1">570000/1000</f>
        <v>570</v>
      </c>
      <c r="E46" s="41">
        <f t="shared" si="1"/>
        <v>570</v>
      </c>
      <c r="F46" s="13">
        <f t="shared" si="0"/>
        <v>100</v>
      </c>
    </row>
    <row r="47" spans="1:6">
      <c r="A47" s="40" t="s">
        <v>244</v>
      </c>
      <c r="B47" s="40" t="s">
        <v>335</v>
      </c>
      <c r="C47" s="40" t="s">
        <v>268</v>
      </c>
      <c r="D47" s="41">
        <f t="shared" si="1"/>
        <v>570</v>
      </c>
      <c r="E47" s="41">
        <f t="shared" si="1"/>
        <v>570</v>
      </c>
      <c r="F47" s="13">
        <f t="shared" si="0"/>
        <v>100</v>
      </c>
    </row>
    <row r="48" spans="1:6" ht="26.4">
      <c r="A48" s="40" t="s">
        <v>244</v>
      </c>
      <c r="B48" s="40" t="s">
        <v>336</v>
      </c>
      <c r="C48" s="40" t="s">
        <v>269</v>
      </c>
      <c r="D48" s="41">
        <f t="shared" si="1"/>
        <v>570</v>
      </c>
      <c r="E48" s="41">
        <f t="shared" si="1"/>
        <v>570</v>
      </c>
      <c r="F48" s="13">
        <f t="shared" si="0"/>
        <v>100</v>
      </c>
    </row>
    <row r="49" spans="1:6" ht="26.4">
      <c r="A49" s="40" t="s">
        <v>244</v>
      </c>
      <c r="B49" s="40" t="s">
        <v>337</v>
      </c>
      <c r="C49" s="40" t="s">
        <v>270</v>
      </c>
      <c r="D49" s="41">
        <f t="shared" si="1"/>
        <v>570</v>
      </c>
      <c r="E49" s="41">
        <f t="shared" si="1"/>
        <v>570</v>
      </c>
      <c r="F49" s="13">
        <f t="shared" si="0"/>
        <v>100</v>
      </c>
    </row>
    <row r="50" spans="1:6">
      <c r="A50" s="40" t="s">
        <v>244</v>
      </c>
      <c r="B50" s="40" t="s">
        <v>338</v>
      </c>
      <c r="C50" s="40" t="s">
        <v>13</v>
      </c>
      <c r="D50" s="41">
        <f>86800/1000</f>
        <v>86.8</v>
      </c>
      <c r="E50" s="41">
        <f>82708.07/1000</f>
        <v>82.708070000000006</v>
      </c>
      <c r="F50" s="13">
        <f t="shared" si="0"/>
        <v>95.285794930875596</v>
      </c>
    </row>
    <row r="51" spans="1:6" ht="26.4">
      <c r="A51" s="40" t="s">
        <v>244</v>
      </c>
      <c r="B51" s="40" t="s">
        <v>339</v>
      </c>
      <c r="C51" s="40" t="s">
        <v>206</v>
      </c>
      <c r="D51" s="41">
        <f>5400/1000</f>
        <v>5.4</v>
      </c>
      <c r="E51" s="41">
        <f>1354.62/1000</f>
        <v>1.3546199999999999</v>
      </c>
      <c r="F51" s="13">
        <f t="shared" si="0"/>
        <v>25.085555555555555</v>
      </c>
    </row>
    <row r="52" spans="1:6" ht="26.4">
      <c r="A52" s="40" t="s">
        <v>244</v>
      </c>
      <c r="B52" s="40" t="s">
        <v>340</v>
      </c>
      <c r="C52" s="40" t="s">
        <v>207</v>
      </c>
      <c r="D52" s="41">
        <f>5400/1000</f>
        <v>5.4</v>
      </c>
      <c r="E52" s="41">
        <f>1354.62/1000</f>
        <v>1.3546199999999999</v>
      </c>
      <c r="F52" s="13">
        <f t="shared" si="0"/>
        <v>25.085555555555555</v>
      </c>
    </row>
    <row r="53" spans="1:6" ht="52.8">
      <c r="A53" s="40" t="s">
        <v>244</v>
      </c>
      <c r="B53" s="40" t="s">
        <v>341</v>
      </c>
      <c r="C53" s="42" t="s">
        <v>271</v>
      </c>
      <c r="D53" s="41">
        <f>81400/1000</f>
        <v>81.400000000000006</v>
      </c>
      <c r="E53" s="41">
        <f>81353.45/1000</f>
        <v>81.353449999999995</v>
      </c>
      <c r="F53" s="13">
        <f t="shared" si="0"/>
        <v>99.942813267813264</v>
      </c>
    </row>
    <row r="54" spans="1:6" ht="26.4">
      <c r="A54" s="40" t="s">
        <v>244</v>
      </c>
      <c r="B54" s="40" t="s">
        <v>342</v>
      </c>
      <c r="C54" s="40" t="s">
        <v>272</v>
      </c>
      <c r="D54" s="41">
        <f>81400/1000</f>
        <v>81.400000000000006</v>
      </c>
      <c r="E54" s="41">
        <f>81353.45/1000</f>
        <v>81.353449999999995</v>
      </c>
      <c r="F54" s="13">
        <f t="shared" si="0"/>
        <v>99.942813267813264</v>
      </c>
    </row>
    <row r="55" spans="1:6" ht="39.6">
      <c r="A55" s="40" t="s">
        <v>244</v>
      </c>
      <c r="B55" s="40" t="s">
        <v>343</v>
      </c>
      <c r="C55" s="40" t="s">
        <v>273</v>
      </c>
      <c r="D55" s="41">
        <f>81400/1000</f>
        <v>81.400000000000006</v>
      </c>
      <c r="E55" s="41">
        <f>81353.45/1000</f>
        <v>81.353449999999995</v>
      </c>
      <c r="F55" s="13">
        <f t="shared" si="0"/>
        <v>99.942813267813264</v>
      </c>
    </row>
    <row r="56" spans="1:6">
      <c r="A56" s="40" t="s">
        <v>244</v>
      </c>
      <c r="B56" s="40" t="s">
        <v>344</v>
      </c>
      <c r="C56" s="40" t="s">
        <v>213</v>
      </c>
      <c r="D56" s="41">
        <f t="shared" ref="D56:E59" si="2">190000/1000</f>
        <v>190</v>
      </c>
      <c r="E56" s="41">
        <f t="shared" si="2"/>
        <v>190</v>
      </c>
      <c r="F56" s="13">
        <f t="shared" si="0"/>
        <v>100</v>
      </c>
    </row>
    <row r="57" spans="1:6">
      <c r="A57" s="40" t="s">
        <v>244</v>
      </c>
      <c r="B57" s="40" t="s">
        <v>345</v>
      </c>
      <c r="C57" s="40" t="s">
        <v>274</v>
      </c>
      <c r="D57" s="41">
        <f t="shared" si="2"/>
        <v>190</v>
      </c>
      <c r="E57" s="41">
        <f t="shared" si="2"/>
        <v>190</v>
      </c>
      <c r="F57" s="13">
        <f t="shared" si="0"/>
        <v>100</v>
      </c>
    </row>
    <row r="58" spans="1:6" outlineLevel="1">
      <c r="A58" s="40" t="s">
        <v>244</v>
      </c>
      <c r="B58" s="40" t="s">
        <v>346</v>
      </c>
      <c r="C58" s="40" t="s">
        <v>275</v>
      </c>
      <c r="D58" s="41">
        <f t="shared" si="2"/>
        <v>190</v>
      </c>
      <c r="E58" s="41">
        <f t="shared" si="2"/>
        <v>190</v>
      </c>
      <c r="F58" s="13">
        <f t="shared" si="0"/>
        <v>100</v>
      </c>
    </row>
    <row r="59" spans="1:6" ht="39.6">
      <c r="A59" s="40" t="s">
        <v>244</v>
      </c>
      <c r="B59" s="40" t="s">
        <v>347</v>
      </c>
      <c r="C59" s="40" t="s">
        <v>276</v>
      </c>
      <c r="D59" s="41">
        <f t="shared" si="2"/>
        <v>190</v>
      </c>
      <c r="E59" s="41">
        <f t="shared" si="2"/>
        <v>190</v>
      </c>
      <c r="F59" s="13">
        <f t="shared" si="0"/>
        <v>100</v>
      </c>
    </row>
    <row r="60" spans="1:6">
      <c r="A60" s="40" t="s">
        <v>244</v>
      </c>
      <c r="B60" s="40" t="s">
        <v>348</v>
      </c>
      <c r="C60" s="40" t="s">
        <v>86</v>
      </c>
      <c r="D60" s="41">
        <f>23409672/1000</f>
        <v>23409.671999999999</v>
      </c>
      <c r="E60" s="41">
        <f>22867015.41/1000</f>
        <v>22867.01541</v>
      </c>
      <c r="F60" s="13">
        <f t="shared" si="0"/>
        <v>97.681912886263419</v>
      </c>
    </row>
    <row r="61" spans="1:6" ht="26.4" outlineLevel="1">
      <c r="A61" s="40" t="s">
        <v>244</v>
      </c>
      <c r="B61" s="40" t="s">
        <v>349</v>
      </c>
      <c r="C61" s="40" t="s">
        <v>277</v>
      </c>
      <c r="D61" s="41">
        <f>23409672/1000</f>
        <v>23409.671999999999</v>
      </c>
      <c r="E61" s="41">
        <f>22867015.76/1000</f>
        <v>22867.015760000002</v>
      </c>
      <c r="F61" s="13">
        <f t="shared" si="0"/>
        <v>97.681914381371953</v>
      </c>
    </row>
    <row r="62" spans="1:6" outlineLevel="1">
      <c r="A62" s="40" t="s">
        <v>244</v>
      </c>
      <c r="B62" s="40" t="s">
        <v>350</v>
      </c>
      <c r="C62" s="40" t="s">
        <v>225</v>
      </c>
      <c r="D62" s="41">
        <f>787580/1000</f>
        <v>787.58</v>
      </c>
      <c r="E62" s="41">
        <f>787580/1000</f>
        <v>787.58</v>
      </c>
      <c r="F62" s="13">
        <f t="shared" si="0"/>
        <v>100</v>
      </c>
    </row>
    <row r="63" spans="1:6" ht="26.4" outlineLevel="1">
      <c r="A63" s="40" t="s">
        <v>244</v>
      </c>
      <c r="B63" s="40" t="s">
        <v>351</v>
      </c>
      <c r="C63" s="40" t="s">
        <v>278</v>
      </c>
      <c r="D63" s="41">
        <f>735500/1000</f>
        <v>735.5</v>
      </c>
      <c r="E63" s="41">
        <f>735500/1000</f>
        <v>735.5</v>
      </c>
      <c r="F63" s="13">
        <f t="shared" si="0"/>
        <v>100</v>
      </c>
    </row>
    <row r="64" spans="1:6" ht="26.4">
      <c r="A64" s="40" t="s">
        <v>244</v>
      </c>
      <c r="B64" s="40" t="s">
        <v>352</v>
      </c>
      <c r="C64" s="40" t="s">
        <v>208</v>
      </c>
      <c r="D64" s="41">
        <f>735500/1000</f>
        <v>735.5</v>
      </c>
      <c r="E64" s="41">
        <f>735500/1000</f>
        <v>735.5</v>
      </c>
      <c r="F64" s="13">
        <f t="shared" si="0"/>
        <v>100</v>
      </c>
    </row>
    <row r="65" spans="1:6">
      <c r="A65" s="40" t="s">
        <v>244</v>
      </c>
      <c r="B65" s="40" t="s">
        <v>353</v>
      </c>
      <c r="C65" s="40" t="s">
        <v>279</v>
      </c>
      <c r="D65" s="41">
        <f>52080/1000</f>
        <v>52.08</v>
      </c>
      <c r="E65" s="41">
        <f>52080/1000</f>
        <v>52.08</v>
      </c>
      <c r="F65" s="13">
        <f t="shared" si="0"/>
        <v>100</v>
      </c>
    </row>
    <row r="66" spans="1:6" ht="26.4">
      <c r="A66" s="40" t="s">
        <v>244</v>
      </c>
      <c r="B66" s="40" t="s">
        <v>354</v>
      </c>
      <c r="C66" s="40" t="s">
        <v>280</v>
      </c>
      <c r="D66" s="41">
        <f>52080/1000</f>
        <v>52.08</v>
      </c>
      <c r="E66" s="41">
        <f>52080/1000</f>
        <v>52.08</v>
      </c>
      <c r="F66" s="13">
        <f t="shared" si="0"/>
        <v>100</v>
      </c>
    </row>
    <row r="67" spans="1:6">
      <c r="A67" s="40" t="s">
        <v>244</v>
      </c>
      <c r="B67" s="40" t="s">
        <v>355</v>
      </c>
      <c r="C67" s="40" t="s">
        <v>192</v>
      </c>
      <c r="D67" s="41">
        <f>18278792/1000</f>
        <v>18278.792000000001</v>
      </c>
      <c r="E67" s="41">
        <f>17736139.21/1000</f>
        <v>17736.139210000001</v>
      </c>
      <c r="F67" s="13">
        <f t="shared" si="0"/>
        <v>97.031243694878739</v>
      </c>
    </row>
    <row r="68" spans="1:6">
      <c r="A68" s="40" t="s">
        <v>244</v>
      </c>
      <c r="B68" s="40" t="s">
        <v>356</v>
      </c>
      <c r="C68" s="40" t="s">
        <v>193</v>
      </c>
      <c r="D68" s="41">
        <f>18278792/1000</f>
        <v>18278.792000000001</v>
      </c>
      <c r="E68" s="41">
        <f>17736139.21/1000</f>
        <v>17736.139210000001</v>
      </c>
      <c r="F68" s="13">
        <f t="shared" si="0"/>
        <v>97.031243694878739</v>
      </c>
    </row>
    <row r="69" spans="1:6" outlineLevel="1">
      <c r="A69" s="40" t="s">
        <v>244</v>
      </c>
      <c r="B69" s="40" t="s">
        <v>357</v>
      </c>
      <c r="C69" s="40" t="s">
        <v>121</v>
      </c>
      <c r="D69" s="41">
        <f>18278792/1000</f>
        <v>18278.792000000001</v>
      </c>
      <c r="E69" s="41">
        <f>17736139.21/1000</f>
        <v>17736.139210000001</v>
      </c>
      <c r="F69" s="13">
        <f t="shared" si="0"/>
        <v>97.031243694878739</v>
      </c>
    </row>
    <row r="70" spans="1:6" ht="39.6" outlineLevel="1">
      <c r="A70" s="40" t="s">
        <v>244</v>
      </c>
      <c r="B70" s="40" t="s">
        <v>358</v>
      </c>
      <c r="C70" s="40" t="s">
        <v>281</v>
      </c>
      <c r="D70" s="41">
        <f>4043000/1000</f>
        <v>4043</v>
      </c>
      <c r="E70" s="41">
        <f>3500396.21/1000</f>
        <v>3500.3962099999999</v>
      </c>
      <c r="F70" s="13">
        <f t="shared" si="0"/>
        <v>86.579179074944349</v>
      </c>
    </row>
    <row r="71" spans="1:6" ht="39.6" outlineLevel="1">
      <c r="A71" s="40" t="s">
        <v>244</v>
      </c>
      <c r="B71" s="40" t="s">
        <v>359</v>
      </c>
      <c r="C71" s="40" t="s">
        <v>282</v>
      </c>
      <c r="D71" s="41">
        <f>230092/1000</f>
        <v>230.09200000000001</v>
      </c>
      <c r="E71" s="41">
        <f>230092/1000</f>
        <v>230.09200000000001</v>
      </c>
      <c r="F71" s="13">
        <f t="shared" si="0"/>
        <v>100</v>
      </c>
    </row>
    <row r="72" spans="1:6" ht="39.6" outlineLevel="1">
      <c r="A72" s="40" t="s">
        <v>244</v>
      </c>
      <c r="B72" s="40" t="s">
        <v>360</v>
      </c>
      <c r="C72" s="40" t="s">
        <v>283</v>
      </c>
      <c r="D72" s="41">
        <f>8020000/1000</f>
        <v>8020</v>
      </c>
      <c r="E72" s="41">
        <f>8020000/1000</f>
        <v>8020</v>
      </c>
      <c r="F72" s="13">
        <f t="shared" si="0"/>
        <v>100</v>
      </c>
    </row>
    <row r="73" spans="1:6" ht="52.8">
      <c r="A73" s="40" t="s">
        <v>244</v>
      </c>
      <c r="B73" s="40" t="s">
        <v>361</v>
      </c>
      <c r="C73" s="42" t="s">
        <v>284</v>
      </c>
      <c r="D73" s="41">
        <f>4151000/1000</f>
        <v>4151</v>
      </c>
      <c r="E73" s="41">
        <f>4151000/1000</f>
        <v>4151</v>
      </c>
      <c r="F73" s="13">
        <f t="shared" si="0"/>
        <v>100</v>
      </c>
    </row>
    <row r="74" spans="1:6" ht="39.6">
      <c r="A74" s="40" t="s">
        <v>244</v>
      </c>
      <c r="B74" s="40" t="s">
        <v>362</v>
      </c>
      <c r="C74" s="40" t="s">
        <v>285</v>
      </c>
      <c r="D74" s="41">
        <f>1834700/1000</f>
        <v>1834.7</v>
      </c>
      <c r="E74" s="41">
        <f>1834651/1000</f>
        <v>1834.6510000000001</v>
      </c>
      <c r="F74" s="13">
        <f t="shared" si="0"/>
        <v>99.997329263639827</v>
      </c>
    </row>
    <row r="75" spans="1:6">
      <c r="A75" s="40" t="s">
        <v>244</v>
      </c>
      <c r="B75" s="40" t="s">
        <v>363</v>
      </c>
      <c r="C75" s="40" t="s">
        <v>286</v>
      </c>
      <c r="D75" s="41">
        <f>390600/1000</f>
        <v>390.6</v>
      </c>
      <c r="E75" s="41">
        <f>390600/1000</f>
        <v>390.6</v>
      </c>
      <c r="F75" s="13">
        <f t="shared" ref="F75:F93" si="3">E75/D75*100</f>
        <v>100</v>
      </c>
    </row>
    <row r="76" spans="1:6">
      <c r="A76" s="40" t="s">
        <v>244</v>
      </c>
      <c r="B76" s="40" t="s">
        <v>364</v>
      </c>
      <c r="C76" s="43" t="s">
        <v>287</v>
      </c>
      <c r="D76" s="41">
        <f t="shared" ref="D76:E78" si="4">100/1000</f>
        <v>0.1</v>
      </c>
      <c r="E76" s="41">
        <f t="shared" si="4"/>
        <v>0.1</v>
      </c>
      <c r="F76" s="13">
        <f t="shared" si="3"/>
        <v>100</v>
      </c>
    </row>
    <row r="77" spans="1:6" ht="26.4">
      <c r="A77" s="40" t="s">
        <v>244</v>
      </c>
      <c r="B77" s="40" t="s">
        <v>365</v>
      </c>
      <c r="C77" s="40" t="s">
        <v>288</v>
      </c>
      <c r="D77" s="41">
        <f t="shared" si="4"/>
        <v>0.1</v>
      </c>
      <c r="E77" s="41">
        <f t="shared" si="4"/>
        <v>0.1</v>
      </c>
      <c r="F77" s="13">
        <f t="shared" si="3"/>
        <v>100</v>
      </c>
    </row>
    <row r="78" spans="1:6" ht="66">
      <c r="A78" s="40" t="s">
        <v>244</v>
      </c>
      <c r="B78" s="40" t="s">
        <v>366</v>
      </c>
      <c r="C78" s="42" t="s">
        <v>289</v>
      </c>
      <c r="D78" s="41">
        <f t="shared" si="4"/>
        <v>0.1</v>
      </c>
      <c r="E78" s="41">
        <f t="shared" si="4"/>
        <v>0.1</v>
      </c>
      <c r="F78" s="13">
        <f t="shared" si="3"/>
        <v>100</v>
      </c>
    </row>
    <row r="79" spans="1:6" ht="26.4">
      <c r="A79" s="40" t="s">
        <v>244</v>
      </c>
      <c r="B79" s="40" t="s">
        <v>367</v>
      </c>
      <c r="C79" s="40" t="s">
        <v>226</v>
      </c>
      <c r="D79" s="41">
        <f>390500/1000</f>
        <v>390.5</v>
      </c>
      <c r="E79" s="41">
        <f>390500/1000</f>
        <v>390.5</v>
      </c>
      <c r="F79" s="13">
        <f t="shared" si="3"/>
        <v>100</v>
      </c>
    </row>
    <row r="80" spans="1:6" ht="26.4">
      <c r="A80" s="40" t="s">
        <v>244</v>
      </c>
      <c r="B80" s="40" t="s">
        <v>368</v>
      </c>
      <c r="C80" s="40" t="s">
        <v>227</v>
      </c>
      <c r="D80" s="41">
        <f>390500/1000</f>
        <v>390.5</v>
      </c>
      <c r="E80" s="41">
        <f>390500/1000</f>
        <v>390.5</v>
      </c>
      <c r="F80" s="13">
        <f t="shared" si="3"/>
        <v>100</v>
      </c>
    </row>
    <row r="81" spans="1:6">
      <c r="A81" s="40" t="s">
        <v>244</v>
      </c>
      <c r="B81" s="40" t="s">
        <v>369</v>
      </c>
      <c r="C81" s="40" t="s">
        <v>228</v>
      </c>
      <c r="D81" s="41">
        <f>3952700/1000</f>
        <v>3952.7</v>
      </c>
      <c r="E81" s="41">
        <f>3952696.55/1000</f>
        <v>3952.6965499999997</v>
      </c>
      <c r="F81" s="13">
        <f t="shared" si="3"/>
        <v>99.999912717889032</v>
      </c>
    </row>
    <row r="82" spans="1:6">
      <c r="A82" s="40" t="s">
        <v>244</v>
      </c>
      <c r="B82" s="40" t="s">
        <v>370</v>
      </c>
      <c r="C82" s="40" t="s">
        <v>229</v>
      </c>
      <c r="D82" s="41">
        <f>3952700/1000</f>
        <v>3952.7</v>
      </c>
      <c r="E82" s="41">
        <f>3952696.55/1000</f>
        <v>3952.6965499999997</v>
      </c>
      <c r="F82" s="13">
        <f t="shared" si="3"/>
        <v>99.999912717889032</v>
      </c>
    </row>
    <row r="83" spans="1:6">
      <c r="A83" s="40" t="s">
        <v>244</v>
      </c>
      <c r="B83" s="40" t="s">
        <v>371</v>
      </c>
      <c r="C83" s="40" t="s">
        <v>290</v>
      </c>
      <c r="D83" s="41">
        <f>3952700/1000</f>
        <v>3952.7</v>
      </c>
      <c r="E83" s="41">
        <f>3952696.55/1000</f>
        <v>3952.6965499999997</v>
      </c>
      <c r="F83" s="13">
        <f t="shared" si="3"/>
        <v>99.999912717889032</v>
      </c>
    </row>
    <row r="84" spans="1:6" ht="26.4">
      <c r="A84" s="40" t="s">
        <v>244</v>
      </c>
      <c r="B84" s="40" t="s">
        <v>372</v>
      </c>
      <c r="C84" s="40" t="s">
        <v>291</v>
      </c>
      <c r="D84" s="41">
        <f>2952700/1000</f>
        <v>2952.7</v>
      </c>
      <c r="E84" s="41">
        <f>2952700/1000</f>
        <v>2952.7</v>
      </c>
      <c r="F84" s="13">
        <f t="shared" si="3"/>
        <v>100</v>
      </c>
    </row>
    <row r="85" spans="1:6" ht="39.6">
      <c r="A85" s="40" t="s">
        <v>244</v>
      </c>
      <c r="B85" s="40" t="s">
        <v>373</v>
      </c>
      <c r="C85" s="42" t="s">
        <v>230</v>
      </c>
      <c r="D85" s="41">
        <f>1000000/1000</f>
        <v>1000</v>
      </c>
      <c r="E85" s="41">
        <f>999996.55/1000</f>
        <v>999.99655000000007</v>
      </c>
      <c r="F85" s="13">
        <f t="shared" si="3"/>
        <v>99.999655000000004</v>
      </c>
    </row>
    <row r="86" spans="1:6">
      <c r="A86" s="40" t="s">
        <v>374</v>
      </c>
      <c r="B86" s="40" t="s">
        <v>302</v>
      </c>
      <c r="C86" s="40" t="s">
        <v>14</v>
      </c>
      <c r="D86" s="41">
        <f>1377700/1000</f>
        <v>1377.7</v>
      </c>
      <c r="E86" s="41">
        <f>1398431.14/1000</f>
        <v>1398.4311399999999</v>
      </c>
      <c r="F86" s="13">
        <f t="shared" si="3"/>
        <v>101.50476446250998</v>
      </c>
    </row>
    <row r="87" spans="1:6" ht="26.4">
      <c r="A87" s="40" t="s">
        <v>374</v>
      </c>
      <c r="B87" s="40" t="s">
        <v>328</v>
      </c>
      <c r="C87" s="40" t="s">
        <v>264</v>
      </c>
      <c r="D87" s="41">
        <f>1377700/1000</f>
        <v>1377.7</v>
      </c>
      <c r="E87" s="41">
        <f>1398431.14/1000</f>
        <v>1398.4311399999999</v>
      </c>
      <c r="F87" s="13">
        <f t="shared" si="3"/>
        <v>101.50476446250998</v>
      </c>
    </row>
    <row r="88" spans="1:6" ht="52.8">
      <c r="A88" s="40" t="s">
        <v>374</v>
      </c>
      <c r="B88" s="40" t="s">
        <v>329</v>
      </c>
      <c r="C88" s="42" t="s">
        <v>265</v>
      </c>
      <c r="D88" s="41">
        <f>900900/1000</f>
        <v>900.9</v>
      </c>
      <c r="E88" s="41">
        <f>911018.49/1000</f>
        <v>911.01849000000004</v>
      </c>
      <c r="F88" s="13">
        <f t="shared" si="3"/>
        <v>101.12315351315353</v>
      </c>
    </row>
    <row r="89" spans="1:6" ht="26.4">
      <c r="A89" s="40" t="s">
        <v>374</v>
      </c>
      <c r="B89" s="40" t="s">
        <v>375</v>
      </c>
      <c r="C89" s="40" t="s">
        <v>292</v>
      </c>
      <c r="D89" s="41">
        <f>900900/1000</f>
        <v>900.9</v>
      </c>
      <c r="E89" s="41">
        <f>911018.49/1000</f>
        <v>911.01849000000004</v>
      </c>
      <c r="F89" s="13">
        <f t="shared" si="3"/>
        <v>101.12315351315353</v>
      </c>
    </row>
    <row r="90" spans="1:6" ht="26.4">
      <c r="A90" s="40" t="s">
        <v>374</v>
      </c>
      <c r="B90" s="40" t="s">
        <v>376</v>
      </c>
      <c r="C90" s="40" t="s">
        <v>293</v>
      </c>
      <c r="D90" s="41">
        <f>900900/1000</f>
        <v>900.9</v>
      </c>
      <c r="E90" s="41">
        <f>911018.49/1000</f>
        <v>911.01849000000004</v>
      </c>
      <c r="F90" s="13">
        <f t="shared" si="3"/>
        <v>101.12315351315353</v>
      </c>
    </row>
    <row r="91" spans="1:6" ht="39.6">
      <c r="A91" s="40" t="s">
        <v>374</v>
      </c>
      <c r="B91" s="40" t="s">
        <v>377</v>
      </c>
      <c r="C91" s="42" t="s">
        <v>294</v>
      </c>
      <c r="D91" s="41">
        <f>476800/1000</f>
        <v>476.8</v>
      </c>
      <c r="E91" s="41">
        <f>487412.65/1000</f>
        <v>487.41265000000004</v>
      </c>
      <c r="F91" s="13">
        <f t="shared" si="3"/>
        <v>102.22580746644296</v>
      </c>
    </row>
    <row r="92" spans="1:6" ht="39.6">
      <c r="A92" s="40" t="s">
        <v>374</v>
      </c>
      <c r="B92" s="40" t="s">
        <v>378</v>
      </c>
      <c r="C92" s="42" t="s">
        <v>295</v>
      </c>
      <c r="D92" s="41">
        <f>476800/1000</f>
        <v>476.8</v>
      </c>
      <c r="E92" s="41">
        <f>487412.65/1000</f>
        <v>487.41265000000004</v>
      </c>
      <c r="F92" s="13">
        <f t="shared" si="3"/>
        <v>102.22580746644296</v>
      </c>
    </row>
    <row r="93" spans="1:6" ht="39.6">
      <c r="A93" s="40" t="s">
        <v>374</v>
      </c>
      <c r="B93" s="40" t="s">
        <v>379</v>
      </c>
      <c r="C93" s="40" t="s">
        <v>296</v>
      </c>
      <c r="D93" s="41">
        <f>476800/1000</f>
        <v>476.8</v>
      </c>
      <c r="E93" s="41">
        <f>487412.65/1000</f>
        <v>487.41265000000004</v>
      </c>
      <c r="F93" s="13">
        <f t="shared" si="3"/>
        <v>102.22580746644296</v>
      </c>
    </row>
  </sheetData>
  <mergeCells count="10">
    <mergeCell ref="B6:F6"/>
    <mergeCell ref="B7:F7"/>
    <mergeCell ref="B8:F8"/>
    <mergeCell ref="B9:F9"/>
    <mergeCell ref="E5:F5"/>
    <mergeCell ref="D1:F1"/>
    <mergeCell ref="D2:F2"/>
    <mergeCell ref="D3:F3"/>
    <mergeCell ref="D4:F4"/>
    <mergeCell ref="C5:D5"/>
  </mergeCells>
  <phoneticPr fontId="1" type="noConversion"/>
  <pageMargins left="0.59055118110236227" right="0.39370078740157483" top="0.78740157480314965" bottom="0.78740157480314965" header="0" footer="0"/>
  <pageSetup paperSize="9" scale="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F236"/>
  <sheetViews>
    <sheetView topLeftCell="A6" zoomScale="120" zoomScaleNormal="120" workbookViewId="0">
      <selection activeCell="E18" sqref="E18"/>
    </sheetView>
  </sheetViews>
  <sheetFormatPr defaultColWidth="9.109375" defaultRowHeight="13.2" outlineLevelRow="1"/>
  <cols>
    <col min="1" max="1" width="77.5546875" style="3" customWidth="1"/>
    <col min="2" max="2" width="8.5546875" style="6" customWidth="1"/>
    <col min="3" max="3" width="8.5546875" style="3" customWidth="1"/>
    <col min="4" max="6" width="10" style="2" customWidth="1"/>
    <col min="7" max="16384" width="9.109375" style="2"/>
  </cols>
  <sheetData>
    <row r="1" spans="1:6" ht="12.75" customHeight="1">
      <c r="A1" s="86"/>
      <c r="B1" s="86"/>
      <c r="C1" s="4"/>
      <c r="D1" s="87" t="s">
        <v>127</v>
      </c>
      <c r="E1" s="87"/>
      <c r="F1" s="87"/>
    </row>
    <row r="2" spans="1:6" ht="12.75" customHeight="1">
      <c r="A2" s="49"/>
      <c r="B2" s="48"/>
      <c r="C2" s="48"/>
      <c r="D2" s="88" t="s">
        <v>203</v>
      </c>
      <c r="E2" s="88"/>
      <c r="F2" s="88"/>
    </row>
    <row r="3" spans="1:6" ht="12.75" customHeight="1">
      <c r="A3" s="86"/>
      <c r="B3" s="86"/>
      <c r="C3" s="4"/>
      <c r="D3" s="87" t="s">
        <v>78</v>
      </c>
      <c r="E3" s="87"/>
      <c r="F3" s="87"/>
    </row>
    <row r="4" spans="1:6">
      <c r="A4" s="86"/>
      <c r="B4" s="86"/>
      <c r="C4" s="2"/>
      <c r="D4" s="88" t="s">
        <v>222</v>
      </c>
      <c r="E4" s="88"/>
      <c r="F4" s="88"/>
    </row>
    <row r="5" spans="1:6" outlineLevel="1">
      <c r="A5" s="49"/>
      <c r="B5" s="90"/>
      <c r="C5" s="90"/>
      <c r="D5" s="90"/>
    </row>
    <row r="6" spans="1:6" ht="12.75" customHeight="1">
      <c r="A6" s="89" t="s">
        <v>246</v>
      </c>
      <c r="B6" s="89"/>
      <c r="C6" s="89"/>
      <c r="D6" s="89"/>
      <c r="E6" s="89"/>
      <c r="F6" s="89"/>
    </row>
    <row r="7" spans="1:6">
      <c r="A7" s="89"/>
      <c r="B7" s="89"/>
      <c r="C7" s="89"/>
      <c r="D7" s="89"/>
      <c r="E7" s="89"/>
      <c r="F7" s="89"/>
    </row>
    <row r="8" spans="1:6">
      <c r="A8" s="49"/>
      <c r="B8" s="49"/>
      <c r="C8" s="49"/>
      <c r="D8" s="49"/>
      <c r="E8" s="49"/>
      <c r="F8" s="49"/>
    </row>
    <row r="9" spans="1:6" ht="79.2">
      <c r="A9" s="12" t="s">
        <v>201</v>
      </c>
      <c r="B9" s="12" t="s">
        <v>125</v>
      </c>
      <c r="C9" s="11" t="s">
        <v>186</v>
      </c>
      <c r="D9" s="12" t="s">
        <v>381</v>
      </c>
      <c r="E9" s="12" t="s">
        <v>382</v>
      </c>
      <c r="F9" s="12" t="s">
        <v>126</v>
      </c>
    </row>
    <row r="10" spans="1:6">
      <c r="A10" s="45">
        <v>1</v>
      </c>
      <c r="B10" s="12">
        <v>2</v>
      </c>
      <c r="C10" s="11">
        <v>3</v>
      </c>
      <c r="D10" s="12">
        <v>4</v>
      </c>
      <c r="E10" s="45">
        <v>5</v>
      </c>
      <c r="F10" s="45">
        <v>6</v>
      </c>
    </row>
    <row r="11" spans="1:6">
      <c r="A11" s="77" t="s">
        <v>89</v>
      </c>
      <c r="B11" s="11" t="s">
        <v>90</v>
      </c>
      <c r="C11" s="11" t="s">
        <v>90</v>
      </c>
      <c r="D11" s="17">
        <f>D12+D17+D19+D22+D25+D28+D31+D35+D37+D33</f>
        <v>40742.593999999997</v>
      </c>
      <c r="E11" s="17">
        <f>E12+E17+E19+E22+E25+E28+E31+E35+E37+E33</f>
        <v>37944.320709999993</v>
      </c>
      <c r="F11" s="27">
        <f>E11/D11*100</f>
        <v>93.131823442562336</v>
      </c>
    </row>
    <row r="12" spans="1:6">
      <c r="A12" s="76" t="s">
        <v>92</v>
      </c>
      <c r="B12" s="19" t="s">
        <v>93</v>
      </c>
      <c r="C12" s="19" t="s">
        <v>90</v>
      </c>
      <c r="D12" s="20">
        <f>D13+D14+D15+D16</f>
        <v>12448.879999999997</v>
      </c>
      <c r="E12" s="20">
        <f>E13+E14+E16+E15</f>
        <v>11877.48453</v>
      </c>
      <c r="F12" s="27">
        <f t="shared" ref="F12:F36" si="0">E12/D12*100</f>
        <v>95.410065242817041</v>
      </c>
    </row>
    <row r="13" spans="1:6" ht="26.4">
      <c r="A13" s="76" t="s">
        <v>188</v>
      </c>
      <c r="B13" s="19" t="s">
        <v>93</v>
      </c>
      <c r="C13" s="19" t="s">
        <v>94</v>
      </c>
      <c r="D13" s="20">
        <f>918+7+3.3+28.2+280+20+6.04+38-2.1</f>
        <v>1298.44</v>
      </c>
      <c r="E13" s="26">
        <f>1271.02702+26.04</f>
        <v>1297.06702</v>
      </c>
      <c r="F13" s="27">
        <f t="shared" si="0"/>
        <v>99.894259264964106</v>
      </c>
    </row>
    <row r="14" spans="1:6" ht="26.4">
      <c r="A14" s="78" t="s">
        <v>95</v>
      </c>
      <c r="B14" s="19" t="s">
        <v>93</v>
      </c>
      <c r="C14" s="19" t="s">
        <v>96</v>
      </c>
      <c r="D14" s="20">
        <f>2601+21+0.144+3.556+792+9+16.6+366.8424+72.7576+30+20+6.04+660-15</f>
        <v>4583.9399999999996</v>
      </c>
      <c r="E14" s="26">
        <f>4337.40538+26.04</f>
        <v>4363.4453800000001</v>
      </c>
      <c r="F14" s="27">
        <f t="shared" si="0"/>
        <v>95.189844980518956</v>
      </c>
    </row>
    <row r="15" spans="1:6">
      <c r="A15" s="76" t="s">
        <v>46</v>
      </c>
      <c r="B15" s="19" t="s">
        <v>93</v>
      </c>
      <c r="C15" s="19" t="s">
        <v>10</v>
      </c>
      <c r="D15" s="20">
        <v>10</v>
      </c>
      <c r="E15" s="26">
        <v>0</v>
      </c>
      <c r="F15" s="27">
        <f t="shared" si="0"/>
        <v>0</v>
      </c>
    </row>
    <row r="16" spans="1:6">
      <c r="A16" s="76" t="s">
        <v>97</v>
      </c>
      <c r="B16" s="19" t="s">
        <v>93</v>
      </c>
      <c r="C16" s="19" t="s">
        <v>6</v>
      </c>
      <c r="D16" s="20">
        <f>776+6.3+1+237+167.4+322+262+100+17+58+2.5+60.7+11.1+1000+0.6+4819.7-30-1000-430-0.5-200-17-60+452.7</f>
        <v>6556.4999999999991</v>
      </c>
      <c r="E16" s="26">
        <f>1128.96572+60.7+11.1+0.1+686.27914+4329.82727</f>
        <v>6216.9721300000001</v>
      </c>
      <c r="F16" s="27">
        <f t="shared" si="0"/>
        <v>94.82150735910929</v>
      </c>
    </row>
    <row r="17" spans="1:6">
      <c r="A17" s="79" t="s">
        <v>98</v>
      </c>
      <c r="B17" s="22" t="s">
        <v>94</v>
      </c>
      <c r="C17" s="22" t="s">
        <v>90</v>
      </c>
      <c r="D17" s="20">
        <f>D18</f>
        <v>390.5</v>
      </c>
      <c r="E17" s="21">
        <f>E18</f>
        <v>390.5</v>
      </c>
      <c r="F17" s="27">
        <f t="shared" si="0"/>
        <v>100</v>
      </c>
    </row>
    <row r="18" spans="1:6">
      <c r="A18" s="76" t="s">
        <v>99</v>
      </c>
      <c r="B18" s="19" t="s">
        <v>94</v>
      </c>
      <c r="C18" s="19" t="s">
        <v>100</v>
      </c>
      <c r="D18" s="20">
        <f>297.6+2.3+90.6</f>
        <v>390.5</v>
      </c>
      <c r="E18" s="26">
        <v>390.5</v>
      </c>
      <c r="F18" s="27">
        <f t="shared" si="0"/>
        <v>100</v>
      </c>
    </row>
    <row r="19" spans="1:6">
      <c r="A19" s="76" t="s">
        <v>101</v>
      </c>
      <c r="B19" s="19" t="s">
        <v>100</v>
      </c>
      <c r="C19" s="19" t="s">
        <v>90</v>
      </c>
      <c r="D19" s="20">
        <f>D20+D21</f>
        <v>74.8</v>
      </c>
      <c r="E19" s="21">
        <f>E20+E21</f>
        <v>28.400000000000002</v>
      </c>
      <c r="F19" s="27">
        <f t="shared" si="0"/>
        <v>37.967914438502675</v>
      </c>
    </row>
    <row r="20" spans="1:6" ht="26.4">
      <c r="A20" s="80" t="s">
        <v>221</v>
      </c>
      <c r="B20" s="19" t="s">
        <v>100</v>
      </c>
      <c r="C20" s="19" t="s">
        <v>103</v>
      </c>
      <c r="D20" s="20">
        <f>35+15+19.8</f>
        <v>69.8</v>
      </c>
      <c r="E20" s="26">
        <f>3.6+19.8</f>
        <v>23.400000000000002</v>
      </c>
      <c r="F20" s="27">
        <f t="shared" si="0"/>
        <v>33.524355300859604</v>
      </c>
    </row>
    <row r="21" spans="1:6">
      <c r="A21" s="81" t="s">
        <v>406</v>
      </c>
      <c r="B21" s="19" t="s">
        <v>100</v>
      </c>
      <c r="C21" s="19" t="s">
        <v>122</v>
      </c>
      <c r="D21" s="20">
        <f>5</f>
        <v>5</v>
      </c>
      <c r="E21" s="26">
        <v>5</v>
      </c>
      <c r="F21" s="27">
        <f t="shared" si="0"/>
        <v>100</v>
      </c>
    </row>
    <row r="22" spans="1:6">
      <c r="A22" s="76" t="s">
        <v>8</v>
      </c>
      <c r="B22" s="19" t="s">
        <v>96</v>
      </c>
      <c r="C22" s="19" t="s">
        <v>90</v>
      </c>
      <c r="D22" s="20">
        <f>D23+D24</f>
        <v>7203.6210000000001</v>
      </c>
      <c r="E22" s="21">
        <f>E23+E24</f>
        <v>6386.0025999999998</v>
      </c>
      <c r="F22" s="27">
        <f t="shared" si="0"/>
        <v>88.649897044833423</v>
      </c>
    </row>
    <row r="23" spans="1:6">
      <c r="A23" s="76" t="s">
        <v>50</v>
      </c>
      <c r="B23" s="19" t="s">
        <v>96</v>
      </c>
      <c r="C23" s="19" t="s">
        <v>102</v>
      </c>
      <c r="D23" s="20">
        <f>1129.421+35+1843.9+18.7+4151+4.2-9.2+0.04-0.04</f>
        <v>7173.0209999999997</v>
      </c>
      <c r="E23" s="26">
        <f>347.59898+1834.651+18.60662+4151+4.156</f>
        <v>6356.0126</v>
      </c>
      <c r="F23" s="27">
        <f t="shared" si="0"/>
        <v>88.609981763611174</v>
      </c>
    </row>
    <row r="24" spans="1:6">
      <c r="A24" s="76" t="s">
        <v>7</v>
      </c>
      <c r="B24" s="19" t="s">
        <v>96</v>
      </c>
      <c r="C24" s="19" t="s">
        <v>9</v>
      </c>
      <c r="D24" s="20">
        <f>15+14.6+1</f>
        <v>30.6</v>
      </c>
      <c r="E24" s="26">
        <f>15+14.6+0.39</f>
        <v>29.990000000000002</v>
      </c>
      <c r="F24" s="27">
        <f t="shared" si="0"/>
        <v>98.006535947712422</v>
      </c>
    </row>
    <row r="25" spans="1:6">
      <c r="A25" s="76" t="s">
        <v>104</v>
      </c>
      <c r="B25" s="19" t="s">
        <v>105</v>
      </c>
      <c r="C25" s="19" t="s">
        <v>90</v>
      </c>
      <c r="D25" s="20">
        <f>D26+D27</f>
        <v>9994.4079999999994</v>
      </c>
      <c r="E25" s="21">
        <f>E26+E27</f>
        <v>8716.5534699999989</v>
      </c>
      <c r="F25" s="27">
        <f t="shared" si="0"/>
        <v>87.214304939322062</v>
      </c>
    </row>
    <row r="26" spans="1:6">
      <c r="A26" s="76" t="s">
        <v>209</v>
      </c>
      <c r="B26" s="19" t="s">
        <v>105</v>
      </c>
      <c r="C26" s="19" t="s">
        <v>94</v>
      </c>
      <c r="D26" s="20">
        <f>4043+212.9</f>
        <v>4255.8999999999996</v>
      </c>
      <c r="E26" s="26">
        <f>3500.39621+184.32708</f>
        <v>3684.7232899999999</v>
      </c>
      <c r="F26" s="27">
        <f t="shared" si="0"/>
        <v>86.579179257031427</v>
      </c>
    </row>
    <row r="27" spans="1:6">
      <c r="A27" s="76" t="s">
        <v>77</v>
      </c>
      <c r="B27" s="19" t="s">
        <v>105</v>
      </c>
      <c r="C27" s="19" t="s">
        <v>100</v>
      </c>
      <c r="D27" s="20">
        <f>3351.503+179.3+357+5+286.4+14.8+872.4+97.971+6.902+230.092+180.04+190+100+7.86-7.86-59-23-50.9</f>
        <v>5738.5079999999998</v>
      </c>
      <c r="E27" s="26">
        <f>3186.04649+445.25784+703.38997+97.00388+230.092+180.04+190</f>
        <v>5031.8301799999999</v>
      </c>
      <c r="F27" s="27">
        <f t="shared" si="0"/>
        <v>87.68533876749845</v>
      </c>
    </row>
    <row r="28" spans="1:6">
      <c r="A28" s="76" t="s">
        <v>2</v>
      </c>
      <c r="B28" s="19" t="s">
        <v>3</v>
      </c>
      <c r="C28" s="19" t="s">
        <v>90</v>
      </c>
      <c r="D28" s="20">
        <f>D30+D29</f>
        <v>122</v>
      </c>
      <c r="E28" s="20">
        <f>E29+E30</f>
        <v>107.67874999999999</v>
      </c>
      <c r="F28" s="27">
        <f t="shared" si="0"/>
        <v>88.261270491803273</v>
      </c>
    </row>
    <row r="29" spans="1:6">
      <c r="A29" s="76" t="s">
        <v>60</v>
      </c>
      <c r="B29" s="19" t="s">
        <v>3</v>
      </c>
      <c r="C29" s="19" t="s">
        <v>105</v>
      </c>
      <c r="D29" s="20">
        <f>83-41</f>
        <v>42</v>
      </c>
      <c r="E29" s="26">
        <v>41.69</v>
      </c>
      <c r="F29" s="27">
        <f t="shared" si="0"/>
        <v>99.261904761904745</v>
      </c>
    </row>
    <row r="30" spans="1:6">
      <c r="A30" s="79" t="s">
        <v>191</v>
      </c>
      <c r="B30" s="19" t="s">
        <v>3</v>
      </c>
      <c r="C30" s="19" t="s">
        <v>3</v>
      </c>
      <c r="D30" s="20">
        <f>50+30</f>
        <v>80</v>
      </c>
      <c r="E30" s="26">
        <v>65.988749999999996</v>
      </c>
      <c r="F30" s="27">
        <f t="shared" si="0"/>
        <v>82.485937499999991</v>
      </c>
    </row>
    <row r="31" spans="1:6">
      <c r="A31" s="82" t="s">
        <v>187</v>
      </c>
      <c r="B31" s="19" t="s">
        <v>4</v>
      </c>
      <c r="C31" s="19" t="s">
        <v>90</v>
      </c>
      <c r="D31" s="20">
        <f>D32</f>
        <v>242.5</v>
      </c>
      <c r="E31" s="20">
        <f>E32</f>
        <v>200.29145</v>
      </c>
      <c r="F31" s="27">
        <f t="shared" si="0"/>
        <v>82.594412371134013</v>
      </c>
    </row>
    <row r="32" spans="1:6">
      <c r="A32" s="82" t="s">
        <v>5</v>
      </c>
      <c r="B32" s="19" t="s">
        <v>4</v>
      </c>
      <c r="C32" s="19" t="s">
        <v>93</v>
      </c>
      <c r="D32" s="20">
        <f>26+110+66+40.5</f>
        <v>242.5</v>
      </c>
      <c r="E32" s="26">
        <f>159.79145+40.5</f>
        <v>200.29145</v>
      </c>
      <c r="F32" s="27">
        <f t="shared" si="0"/>
        <v>82.594412371134013</v>
      </c>
    </row>
    <row r="33" spans="1:6">
      <c r="A33" s="83" t="s">
        <v>61</v>
      </c>
      <c r="B33" s="23" t="s">
        <v>103</v>
      </c>
      <c r="C33" s="23" t="s">
        <v>90</v>
      </c>
      <c r="D33" s="20">
        <f>D34</f>
        <v>567</v>
      </c>
      <c r="E33" s="20">
        <f>E34</f>
        <v>566.9796</v>
      </c>
      <c r="F33" s="27">
        <f t="shared" si="0"/>
        <v>99.996402116402123</v>
      </c>
    </row>
    <row r="34" spans="1:6">
      <c r="A34" s="83" t="s">
        <v>62</v>
      </c>
      <c r="B34" s="23" t="s">
        <v>103</v>
      </c>
      <c r="C34" s="23" t="s">
        <v>93</v>
      </c>
      <c r="D34" s="20">
        <v>567</v>
      </c>
      <c r="E34" s="26">
        <v>566.9796</v>
      </c>
      <c r="F34" s="27">
        <f t="shared" si="0"/>
        <v>99.996402116402123</v>
      </c>
    </row>
    <row r="35" spans="1:6">
      <c r="A35" s="76" t="s">
        <v>11</v>
      </c>
      <c r="B35" s="19" t="s">
        <v>10</v>
      </c>
      <c r="C35" s="19" t="s">
        <v>90</v>
      </c>
      <c r="D35" s="20">
        <f>D36</f>
        <v>9698.8850000000002</v>
      </c>
      <c r="E35" s="20">
        <f>E36</f>
        <v>9670.4303099999997</v>
      </c>
      <c r="F35" s="27">
        <f t="shared" si="0"/>
        <v>99.706618956715118</v>
      </c>
    </row>
    <row r="36" spans="1:6">
      <c r="A36" s="76" t="s">
        <v>12</v>
      </c>
      <c r="B36" s="19" t="s">
        <v>10</v>
      </c>
      <c r="C36" s="19" t="s">
        <v>94</v>
      </c>
      <c r="D36" s="20">
        <f>63.285+40+494.5+8020+81.1+1000+0.11-0.11</f>
        <v>9698.8850000000002</v>
      </c>
      <c r="E36" s="26">
        <f>74.94531+494.47835+999.99655+8020+81.0101</f>
        <v>9670.4303099999997</v>
      </c>
      <c r="F36" s="27">
        <f t="shared" si="0"/>
        <v>99.706618956715118</v>
      </c>
    </row>
    <row r="37" spans="1:6">
      <c r="A37" s="18"/>
    </row>
    <row r="38" spans="1:6">
      <c r="A38" s="18"/>
    </row>
    <row r="39" spans="1:6">
      <c r="A39" s="18"/>
    </row>
    <row r="40" spans="1:6">
      <c r="A40" s="18"/>
    </row>
    <row r="41" spans="1:6">
      <c r="A41" s="18"/>
    </row>
    <row r="42" spans="1:6">
      <c r="A42" s="18"/>
    </row>
    <row r="43" spans="1:6">
      <c r="A43" s="18"/>
    </row>
    <row r="44" spans="1:6">
      <c r="A44" s="18"/>
    </row>
    <row r="45" spans="1:6">
      <c r="A45" s="18"/>
    </row>
    <row r="46" spans="1:6">
      <c r="A46" s="18"/>
    </row>
    <row r="47" spans="1:6">
      <c r="A47" s="18"/>
    </row>
    <row r="48" spans="1:6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  <row r="64" spans="1:1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  <row r="114" spans="1:1">
      <c r="A114" s="18"/>
    </row>
    <row r="115" spans="1:1">
      <c r="A115" s="18"/>
    </row>
    <row r="116" spans="1:1">
      <c r="A116" s="18"/>
    </row>
    <row r="117" spans="1:1">
      <c r="A117" s="18"/>
    </row>
    <row r="118" spans="1:1">
      <c r="A118" s="18"/>
    </row>
    <row r="119" spans="1:1">
      <c r="A119" s="18"/>
    </row>
    <row r="120" spans="1:1">
      <c r="A120" s="18"/>
    </row>
    <row r="121" spans="1:1">
      <c r="A121" s="18"/>
    </row>
    <row r="122" spans="1:1">
      <c r="A122" s="18"/>
    </row>
    <row r="123" spans="1:1">
      <c r="A123" s="18"/>
    </row>
    <row r="124" spans="1:1">
      <c r="A124" s="18"/>
    </row>
    <row r="125" spans="1:1">
      <c r="A125" s="18"/>
    </row>
    <row r="126" spans="1:1">
      <c r="A126" s="18"/>
    </row>
    <row r="127" spans="1:1">
      <c r="A127" s="18"/>
    </row>
    <row r="128" spans="1:1">
      <c r="A128" s="18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</sheetData>
  <mergeCells count="9">
    <mergeCell ref="A6:F7"/>
    <mergeCell ref="D2:F2"/>
    <mergeCell ref="D1:F1"/>
    <mergeCell ref="D3:F3"/>
    <mergeCell ref="D4:F4"/>
    <mergeCell ref="B5:D5"/>
    <mergeCell ref="A1:B1"/>
    <mergeCell ref="A3:B3"/>
    <mergeCell ref="A4:B4"/>
  </mergeCells>
  <phoneticPr fontId="1" type="noConversion"/>
  <pageMargins left="0.59055118110236227" right="0.39370078740157483" top="0.78740157480314965" bottom="0.78740157480314965" header="0.23622047244094491" footer="0.19685039370078741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G122"/>
  <sheetViews>
    <sheetView topLeftCell="A6" zoomScale="120" zoomScaleNormal="120" workbookViewId="0">
      <selection activeCell="E110" sqref="E110"/>
    </sheetView>
  </sheetViews>
  <sheetFormatPr defaultColWidth="9.109375" defaultRowHeight="13.2" outlineLevelRow="1"/>
  <cols>
    <col min="1" max="1" width="78.5546875" style="2" customWidth="1"/>
    <col min="2" max="2" width="12" style="2" customWidth="1"/>
    <col min="3" max="3" width="7.109375" style="2" customWidth="1"/>
    <col min="4" max="6" width="10" style="2" customWidth="1"/>
    <col min="7" max="7" width="9.109375" style="7"/>
    <col min="8" max="16384" width="9.109375" style="2"/>
  </cols>
  <sheetData>
    <row r="1" spans="1:6">
      <c r="A1" s="5"/>
      <c r="B1" s="44"/>
      <c r="C1" s="44"/>
      <c r="D1" s="88" t="s">
        <v>129</v>
      </c>
      <c r="E1" s="88"/>
      <c r="F1" s="88"/>
    </row>
    <row r="2" spans="1:6">
      <c r="A2" s="5"/>
      <c r="B2" s="44"/>
      <c r="C2" s="44"/>
      <c r="D2" s="88" t="s">
        <v>223</v>
      </c>
      <c r="E2" s="88"/>
      <c r="F2" s="88"/>
    </row>
    <row r="3" spans="1:6">
      <c r="A3" s="5"/>
      <c r="B3" s="44"/>
      <c r="C3" s="44"/>
      <c r="D3" s="88" t="s">
        <v>78</v>
      </c>
      <c r="E3" s="88"/>
      <c r="F3" s="88"/>
    </row>
    <row r="4" spans="1:6">
      <c r="A4" s="5"/>
      <c r="B4" s="44"/>
      <c r="C4" s="44"/>
      <c r="D4" s="88" t="s">
        <v>222</v>
      </c>
      <c r="E4" s="88"/>
      <c r="F4" s="88"/>
    </row>
    <row r="5" spans="1:6" outlineLevel="1">
      <c r="A5" s="5"/>
      <c r="B5" s="44"/>
      <c r="C5" s="44"/>
      <c r="D5" s="44"/>
    </row>
    <row r="6" spans="1:6" ht="42.75" customHeight="1">
      <c r="A6" s="89" t="s">
        <v>247</v>
      </c>
      <c r="B6" s="89"/>
      <c r="C6" s="89"/>
      <c r="D6" s="89"/>
      <c r="E6" s="89"/>
      <c r="F6" s="89"/>
    </row>
    <row r="7" spans="1:6" ht="79.2">
      <c r="A7" s="12" t="s">
        <v>201</v>
      </c>
      <c r="B7" s="12" t="s">
        <v>88</v>
      </c>
      <c r="C7" s="11" t="s">
        <v>197</v>
      </c>
      <c r="D7" s="12" t="s">
        <v>381</v>
      </c>
      <c r="E7" s="12" t="s">
        <v>383</v>
      </c>
      <c r="F7" s="12" t="s">
        <v>123</v>
      </c>
    </row>
    <row r="8" spans="1:6">
      <c r="A8" s="45">
        <v>1</v>
      </c>
      <c r="B8" s="12">
        <v>2</v>
      </c>
      <c r="C8" s="11" t="s">
        <v>128</v>
      </c>
      <c r="D8" s="12">
        <v>2</v>
      </c>
      <c r="E8" s="12">
        <v>3</v>
      </c>
      <c r="F8" s="12">
        <v>4</v>
      </c>
    </row>
    <row r="9" spans="1:6">
      <c r="A9" s="50" t="s">
        <v>89</v>
      </c>
      <c r="B9" s="14" t="s">
        <v>183</v>
      </c>
      <c r="C9" s="14" t="s">
        <v>91</v>
      </c>
      <c r="D9" s="16">
        <f>D10+D117</f>
        <v>40742.593999999997</v>
      </c>
      <c r="E9" s="16">
        <f>E10+E117</f>
        <v>37944.32071</v>
      </c>
      <c r="F9" s="27">
        <f>E9/D9*100</f>
        <v>93.13182344256235</v>
      </c>
    </row>
    <row r="10" spans="1:6">
      <c r="A10" s="50" t="s">
        <v>65</v>
      </c>
      <c r="B10" s="14" t="s">
        <v>184</v>
      </c>
      <c r="C10" s="14" t="s">
        <v>91</v>
      </c>
      <c r="D10" s="16">
        <f>D11+D43+D47+D51+D63+D75+D93+D102+D110+D83</f>
        <v>36486.693999999996</v>
      </c>
      <c r="E10" s="16">
        <f>E11+E43+E47+E51+E63+E75+E93+E102+E110+E83</f>
        <v>34259.597419999998</v>
      </c>
      <c r="F10" s="27">
        <f t="shared" ref="F10:F74" si="0">E10/D10*100</f>
        <v>93.896140384766028</v>
      </c>
    </row>
    <row r="11" spans="1:6">
      <c r="A11" s="58" t="s">
        <v>48</v>
      </c>
      <c r="B11" s="15" t="s">
        <v>170</v>
      </c>
      <c r="C11" s="15" t="s">
        <v>91</v>
      </c>
      <c r="D11" s="21">
        <f>D12+D21+D24+D40+D19</f>
        <v>8205.58</v>
      </c>
      <c r="E11" s="21">
        <f>E12+E21+E24+E40+E19</f>
        <v>7890.1477199999999</v>
      </c>
      <c r="F11" s="27">
        <f t="shared" si="0"/>
        <v>96.155880754315973</v>
      </c>
    </row>
    <row r="12" spans="1:6">
      <c r="A12" s="58" t="s">
        <v>189</v>
      </c>
      <c r="B12" s="15" t="s">
        <v>185</v>
      </c>
      <c r="C12" s="15" t="s">
        <v>91</v>
      </c>
      <c r="D12" s="21">
        <f>D13+D15</f>
        <v>7084.5</v>
      </c>
      <c r="E12" s="21">
        <f>E13+E15</f>
        <v>6779.0881200000003</v>
      </c>
      <c r="F12" s="27">
        <f t="shared" si="0"/>
        <v>95.689012915519797</v>
      </c>
    </row>
    <row r="13" spans="1:6">
      <c r="A13" s="58" t="s">
        <v>115</v>
      </c>
      <c r="B13" s="15" t="s">
        <v>132</v>
      </c>
      <c r="C13" s="15" t="s">
        <v>91</v>
      </c>
      <c r="D13" s="21">
        <f>D14</f>
        <v>1272.4000000000001</v>
      </c>
      <c r="E13" s="21">
        <f>E14</f>
        <v>1271.02702</v>
      </c>
      <c r="F13" s="27">
        <f t="shared" si="0"/>
        <v>99.892095253065065</v>
      </c>
    </row>
    <row r="14" spans="1:6" ht="39.6">
      <c r="A14" s="60" t="s">
        <v>172</v>
      </c>
      <c r="B14" s="15" t="s">
        <v>132</v>
      </c>
      <c r="C14" s="15" t="s">
        <v>171</v>
      </c>
      <c r="D14" s="21">
        <f>918+7+3.3+28.2+280+30+8-0.5-1.6</f>
        <v>1272.4000000000001</v>
      </c>
      <c r="E14" s="21">
        <v>1271.02702</v>
      </c>
      <c r="F14" s="27">
        <f t="shared" si="0"/>
        <v>99.892095253065065</v>
      </c>
    </row>
    <row r="15" spans="1:6">
      <c r="A15" s="58" t="s">
        <v>75</v>
      </c>
      <c r="B15" s="15" t="s">
        <v>133</v>
      </c>
      <c r="C15" s="15" t="s">
        <v>91</v>
      </c>
      <c r="D15" s="21">
        <f>D16+D17+D18</f>
        <v>5812.1</v>
      </c>
      <c r="E15" s="21">
        <f>E16+E17+E18</f>
        <v>5508.0610999999999</v>
      </c>
      <c r="F15" s="27">
        <f t="shared" si="0"/>
        <v>94.768863233598864</v>
      </c>
    </row>
    <row r="16" spans="1:6" ht="39.6">
      <c r="A16" s="60" t="s">
        <v>172</v>
      </c>
      <c r="B16" s="15" t="s">
        <v>133</v>
      </c>
      <c r="C16" s="15" t="s">
        <v>171</v>
      </c>
      <c r="D16" s="21">
        <f>2601+21+0.144+3.556+792+776+6.3+1+237+30-30+510+150-330-100-15</f>
        <v>4653</v>
      </c>
      <c r="E16" s="21">
        <f>4003.01196+560.19447</f>
        <v>4563.2064300000002</v>
      </c>
      <c r="F16" s="27">
        <f t="shared" si="0"/>
        <v>98.070200515796273</v>
      </c>
    </row>
    <row r="17" spans="1:6">
      <c r="A17" s="50" t="s">
        <v>180</v>
      </c>
      <c r="B17" s="15" t="s">
        <v>133</v>
      </c>
      <c r="C17" s="15" t="s">
        <v>173</v>
      </c>
      <c r="D17" s="21">
        <f>9+16.6+366.8424+72.7576+167.4+322+262+100+17+58+83-200-17-60-41</f>
        <v>1156.5999999999999</v>
      </c>
      <c r="E17" s="21">
        <f>334.39342+568.77125+41.69</f>
        <v>944.85466999999994</v>
      </c>
      <c r="F17" s="27">
        <f t="shared" si="0"/>
        <v>81.692432128652953</v>
      </c>
    </row>
    <row r="18" spans="1:6">
      <c r="A18" s="50" t="s">
        <v>181</v>
      </c>
      <c r="B18" s="15" t="s">
        <v>133</v>
      </c>
      <c r="C18" s="15" t="s">
        <v>174</v>
      </c>
      <c r="D18" s="21">
        <v>2.5</v>
      </c>
      <c r="E18" s="21">
        <v>0</v>
      </c>
      <c r="F18" s="27">
        <f t="shared" si="0"/>
        <v>0</v>
      </c>
    </row>
    <row r="19" spans="1:6" ht="26.4">
      <c r="A19" s="50" t="s">
        <v>384</v>
      </c>
      <c r="B19" s="15" t="s">
        <v>399</v>
      </c>
      <c r="C19" s="15" t="s">
        <v>91</v>
      </c>
      <c r="D19" s="21">
        <f>D20</f>
        <v>52.08</v>
      </c>
      <c r="E19" s="21">
        <f>E20</f>
        <v>52.08</v>
      </c>
      <c r="F19" s="27">
        <f t="shared" si="0"/>
        <v>100</v>
      </c>
    </row>
    <row r="20" spans="1:6" ht="39.6">
      <c r="A20" s="60" t="s">
        <v>172</v>
      </c>
      <c r="B20" s="15" t="s">
        <v>399</v>
      </c>
      <c r="C20" s="15" t="s">
        <v>171</v>
      </c>
      <c r="D20" s="21">
        <v>52.08</v>
      </c>
      <c r="E20" s="21">
        <f>26.04+26.04</f>
        <v>52.08</v>
      </c>
      <c r="F20" s="27">
        <f t="shared" si="0"/>
        <v>100</v>
      </c>
    </row>
    <row r="21" spans="1:6">
      <c r="A21" s="58" t="s">
        <v>46</v>
      </c>
      <c r="B21" s="15" t="s">
        <v>134</v>
      </c>
      <c r="C21" s="15" t="s">
        <v>91</v>
      </c>
      <c r="D21" s="21">
        <f>D22</f>
        <v>10</v>
      </c>
      <c r="E21" s="21">
        <f>E22</f>
        <v>0</v>
      </c>
      <c r="F21" s="27">
        <f t="shared" si="0"/>
        <v>0</v>
      </c>
    </row>
    <row r="22" spans="1:6">
      <c r="A22" s="58" t="s">
        <v>47</v>
      </c>
      <c r="B22" s="15" t="s">
        <v>135</v>
      </c>
      <c r="C22" s="15" t="s">
        <v>91</v>
      </c>
      <c r="D22" s="21">
        <f>D23</f>
        <v>10</v>
      </c>
      <c r="E22" s="21">
        <f>E23</f>
        <v>0</v>
      </c>
      <c r="F22" s="27">
        <f t="shared" si="0"/>
        <v>0</v>
      </c>
    </row>
    <row r="23" spans="1:6">
      <c r="A23" s="50" t="s">
        <v>181</v>
      </c>
      <c r="B23" s="15" t="s">
        <v>135</v>
      </c>
      <c r="C23" s="15" t="s">
        <v>174</v>
      </c>
      <c r="D23" s="21">
        <f>10</f>
        <v>10</v>
      </c>
      <c r="E23" s="21">
        <v>0</v>
      </c>
      <c r="F23" s="27">
        <f t="shared" si="0"/>
        <v>0</v>
      </c>
    </row>
    <row r="24" spans="1:6" ht="26.4">
      <c r="A24" s="58" t="s">
        <v>116</v>
      </c>
      <c r="B24" s="15" t="s">
        <v>136</v>
      </c>
      <c r="C24" s="15" t="s">
        <v>91</v>
      </c>
      <c r="D24" s="21">
        <f>D25+D27+D29+D31+D34+D38</f>
        <v>668.5</v>
      </c>
      <c r="E24" s="21">
        <f>E25+E27+E29+E31+E34+E38</f>
        <v>668.4796</v>
      </c>
      <c r="F24" s="27">
        <f t="shared" si="0"/>
        <v>99.996948391922217</v>
      </c>
    </row>
    <row r="25" spans="1:6" ht="26.4">
      <c r="A25" s="61" t="s">
        <v>74</v>
      </c>
      <c r="B25" s="15" t="s">
        <v>137</v>
      </c>
      <c r="C25" s="15" t="s">
        <v>91</v>
      </c>
      <c r="D25" s="21">
        <f>D26</f>
        <v>60.7</v>
      </c>
      <c r="E25" s="21">
        <f>E26</f>
        <v>60.7</v>
      </c>
      <c r="F25" s="27">
        <f t="shared" si="0"/>
        <v>100</v>
      </c>
    </row>
    <row r="26" spans="1:6">
      <c r="A26" s="50" t="s">
        <v>176</v>
      </c>
      <c r="B26" s="15" t="s">
        <v>137</v>
      </c>
      <c r="C26" s="15" t="s">
        <v>175</v>
      </c>
      <c r="D26" s="21">
        <v>60.7</v>
      </c>
      <c r="E26" s="21">
        <v>60.7</v>
      </c>
      <c r="F26" s="27">
        <f t="shared" si="0"/>
        <v>100</v>
      </c>
    </row>
    <row r="27" spans="1:6" ht="26.4">
      <c r="A27" s="61" t="s">
        <v>138</v>
      </c>
      <c r="B27" s="15" t="s">
        <v>139</v>
      </c>
      <c r="C27" s="15" t="s">
        <v>91</v>
      </c>
      <c r="D27" s="21">
        <f>D28</f>
        <v>15</v>
      </c>
      <c r="E27" s="21">
        <f>E28</f>
        <v>15</v>
      </c>
      <c r="F27" s="27">
        <f t="shared" si="0"/>
        <v>100</v>
      </c>
    </row>
    <row r="28" spans="1:6">
      <c r="A28" s="50" t="s">
        <v>176</v>
      </c>
      <c r="B28" s="15" t="s">
        <v>139</v>
      </c>
      <c r="C28" s="15" t="s">
        <v>175</v>
      </c>
      <c r="D28" s="21">
        <v>15</v>
      </c>
      <c r="E28" s="21">
        <v>15</v>
      </c>
      <c r="F28" s="27">
        <f t="shared" si="0"/>
        <v>100</v>
      </c>
    </row>
    <row r="29" spans="1:6" ht="171.6">
      <c r="A29" s="65" t="s">
        <v>232</v>
      </c>
      <c r="B29" s="15" t="s">
        <v>140</v>
      </c>
      <c r="C29" s="15" t="s">
        <v>91</v>
      </c>
      <c r="D29" s="21">
        <f>D30</f>
        <v>14.6</v>
      </c>
      <c r="E29" s="21">
        <f>E30</f>
        <v>14.6</v>
      </c>
      <c r="F29" s="27">
        <f t="shared" si="0"/>
        <v>100</v>
      </c>
    </row>
    <row r="30" spans="1:6">
      <c r="A30" s="50" t="s">
        <v>176</v>
      </c>
      <c r="B30" s="15" t="s">
        <v>140</v>
      </c>
      <c r="C30" s="15" t="s">
        <v>175</v>
      </c>
      <c r="D30" s="21">
        <v>14.6</v>
      </c>
      <c r="E30" s="21">
        <v>14.6</v>
      </c>
      <c r="F30" s="27">
        <f t="shared" si="0"/>
        <v>100</v>
      </c>
    </row>
    <row r="31" spans="1:6" ht="26.4">
      <c r="A31" s="50" t="s">
        <v>234</v>
      </c>
      <c r="B31" s="15" t="s">
        <v>400</v>
      </c>
      <c r="C31" s="15" t="s">
        <v>91</v>
      </c>
      <c r="D31" s="21">
        <f>D32</f>
        <v>9.9999999999999978E-2</v>
      </c>
      <c r="E31" s="21">
        <f>E32</f>
        <v>0.1</v>
      </c>
      <c r="F31" s="27">
        <f t="shared" si="0"/>
        <v>100.00000000000003</v>
      </c>
    </row>
    <row r="32" spans="1:6">
      <c r="A32" s="58" t="s">
        <v>385</v>
      </c>
      <c r="B32" s="15" t="s">
        <v>402</v>
      </c>
      <c r="C32" s="15" t="s">
        <v>91</v>
      </c>
      <c r="D32" s="21">
        <f>D33</f>
        <v>9.9999999999999978E-2</v>
      </c>
      <c r="E32" s="21">
        <f>E33</f>
        <v>0.1</v>
      </c>
      <c r="F32" s="27">
        <f t="shared" si="0"/>
        <v>100.00000000000003</v>
      </c>
    </row>
    <row r="33" spans="1:6">
      <c r="A33" s="50" t="s">
        <v>180</v>
      </c>
      <c r="B33" s="15" t="s">
        <v>402</v>
      </c>
      <c r="C33" s="15" t="s">
        <v>173</v>
      </c>
      <c r="D33" s="21">
        <f>0.6-0.5</f>
        <v>9.9999999999999978E-2</v>
      </c>
      <c r="E33" s="21">
        <v>0.1</v>
      </c>
      <c r="F33" s="27">
        <f t="shared" si="0"/>
        <v>100.00000000000003</v>
      </c>
    </row>
    <row r="34" spans="1:6">
      <c r="A34" s="58" t="s">
        <v>66</v>
      </c>
      <c r="B34" s="15" t="s">
        <v>141</v>
      </c>
      <c r="C34" s="15" t="s">
        <v>91</v>
      </c>
      <c r="D34" s="21">
        <f>D35</f>
        <v>11.1</v>
      </c>
      <c r="E34" s="21">
        <f>E35</f>
        <v>11.1</v>
      </c>
      <c r="F34" s="27">
        <f t="shared" si="0"/>
        <v>100</v>
      </c>
    </row>
    <row r="35" spans="1:6">
      <c r="A35" s="58" t="s">
        <v>195</v>
      </c>
      <c r="B35" s="15" t="s">
        <v>142</v>
      </c>
      <c r="C35" s="15" t="s">
        <v>91</v>
      </c>
      <c r="D35" s="21">
        <f>D36</f>
        <v>11.1</v>
      </c>
      <c r="E35" s="21">
        <f>E36</f>
        <v>11.1</v>
      </c>
      <c r="F35" s="27">
        <f t="shared" si="0"/>
        <v>100</v>
      </c>
    </row>
    <row r="36" spans="1:6">
      <c r="A36" s="50" t="s">
        <v>181</v>
      </c>
      <c r="B36" s="15" t="s">
        <v>142</v>
      </c>
      <c r="C36" s="15" t="s">
        <v>174</v>
      </c>
      <c r="D36" s="21">
        <v>11.1</v>
      </c>
      <c r="E36" s="21">
        <v>11.1</v>
      </c>
      <c r="F36" s="27">
        <f t="shared" si="0"/>
        <v>100</v>
      </c>
    </row>
    <row r="37" spans="1:6">
      <c r="A37" s="58" t="s">
        <v>63</v>
      </c>
      <c r="B37" s="15" t="s">
        <v>143</v>
      </c>
      <c r="C37" s="15" t="s">
        <v>91</v>
      </c>
      <c r="D37" s="21">
        <f>D38</f>
        <v>567</v>
      </c>
      <c r="E37" s="21">
        <f>E38</f>
        <v>566.9796</v>
      </c>
      <c r="F37" s="27">
        <f t="shared" si="0"/>
        <v>99.996402116402123</v>
      </c>
    </row>
    <row r="38" spans="1:6">
      <c r="A38" s="58" t="s">
        <v>190</v>
      </c>
      <c r="B38" s="15" t="s">
        <v>144</v>
      </c>
      <c r="C38" s="15" t="s">
        <v>91</v>
      </c>
      <c r="D38" s="21">
        <f>D39</f>
        <v>567</v>
      </c>
      <c r="E38" s="21">
        <f>E39</f>
        <v>566.9796</v>
      </c>
      <c r="F38" s="27">
        <f t="shared" si="0"/>
        <v>99.996402116402123</v>
      </c>
    </row>
    <row r="39" spans="1:6">
      <c r="A39" s="50" t="s">
        <v>182</v>
      </c>
      <c r="B39" s="15" t="s">
        <v>144</v>
      </c>
      <c r="C39" s="15" t="s">
        <v>177</v>
      </c>
      <c r="D39" s="21">
        <f>150+417</f>
        <v>567</v>
      </c>
      <c r="E39" s="21">
        <v>566.9796</v>
      </c>
      <c r="F39" s="27">
        <f t="shared" si="0"/>
        <v>99.996402116402123</v>
      </c>
    </row>
    <row r="40" spans="1:6" ht="39.6">
      <c r="A40" s="58" t="s">
        <v>404</v>
      </c>
      <c r="B40" s="15" t="s">
        <v>405</v>
      </c>
      <c r="C40" s="15" t="s">
        <v>91</v>
      </c>
      <c r="D40" s="21">
        <f>D41+D42</f>
        <v>390.5</v>
      </c>
      <c r="E40" s="21">
        <f>E41+E42</f>
        <v>390.5</v>
      </c>
      <c r="F40" s="27">
        <f t="shared" si="0"/>
        <v>100</v>
      </c>
    </row>
    <row r="41" spans="1:6" ht="39.6">
      <c r="A41" s="60" t="s">
        <v>172</v>
      </c>
      <c r="B41" s="15" t="s">
        <v>405</v>
      </c>
      <c r="C41" s="15" t="s">
        <v>171</v>
      </c>
      <c r="D41" s="21">
        <v>312.89512000000002</v>
      </c>
      <c r="E41" s="21">
        <v>312.89512000000002</v>
      </c>
      <c r="F41" s="27">
        <f t="shared" si="0"/>
        <v>100</v>
      </c>
    </row>
    <row r="42" spans="1:6">
      <c r="A42" s="50" t="s">
        <v>180</v>
      </c>
      <c r="B42" s="15" t="s">
        <v>405</v>
      </c>
      <c r="C42" s="15" t="s">
        <v>173</v>
      </c>
      <c r="D42" s="21">
        <v>77.604879999999994</v>
      </c>
      <c r="E42" s="21">
        <v>77.604879999999994</v>
      </c>
      <c r="F42" s="27">
        <f t="shared" si="0"/>
        <v>100</v>
      </c>
    </row>
    <row r="43" spans="1:6">
      <c r="A43" s="61" t="s">
        <v>112</v>
      </c>
      <c r="B43" s="15" t="s">
        <v>218</v>
      </c>
      <c r="C43" s="15" t="s">
        <v>91</v>
      </c>
      <c r="D43" s="21">
        <f t="shared" ref="D43:E45" si="1">D44</f>
        <v>80</v>
      </c>
      <c r="E43" s="21">
        <f t="shared" si="1"/>
        <v>65.988749999999996</v>
      </c>
      <c r="F43" s="27">
        <f t="shared" si="0"/>
        <v>82.485937499999991</v>
      </c>
    </row>
    <row r="44" spans="1:6">
      <c r="A44" s="58" t="s">
        <v>67</v>
      </c>
      <c r="B44" s="15" t="s">
        <v>219</v>
      </c>
      <c r="C44" s="15" t="s">
        <v>91</v>
      </c>
      <c r="D44" s="21">
        <f t="shared" si="1"/>
        <v>80</v>
      </c>
      <c r="E44" s="21">
        <f t="shared" si="1"/>
        <v>65.988749999999996</v>
      </c>
      <c r="F44" s="27">
        <f t="shared" si="0"/>
        <v>82.485937499999991</v>
      </c>
    </row>
    <row r="45" spans="1:6">
      <c r="A45" s="61" t="s">
        <v>196</v>
      </c>
      <c r="B45" s="15" t="s">
        <v>220</v>
      </c>
      <c r="C45" s="15" t="s">
        <v>91</v>
      </c>
      <c r="D45" s="21">
        <f t="shared" si="1"/>
        <v>80</v>
      </c>
      <c r="E45" s="21">
        <f t="shared" si="1"/>
        <v>65.988749999999996</v>
      </c>
      <c r="F45" s="27">
        <f t="shared" si="0"/>
        <v>82.485937499999991</v>
      </c>
    </row>
    <row r="46" spans="1:6">
      <c r="A46" s="50" t="s">
        <v>180</v>
      </c>
      <c r="B46" s="15" t="s">
        <v>220</v>
      </c>
      <c r="C46" s="15" t="s">
        <v>173</v>
      </c>
      <c r="D46" s="21">
        <f>50+30</f>
        <v>80</v>
      </c>
      <c r="E46" s="21">
        <v>65.988749999999996</v>
      </c>
      <c r="F46" s="27">
        <f t="shared" si="0"/>
        <v>82.485937499999991</v>
      </c>
    </row>
    <row r="47" spans="1:6">
      <c r="A47" s="60" t="s">
        <v>107</v>
      </c>
      <c r="B47" s="15" t="s">
        <v>145</v>
      </c>
      <c r="C47" s="15" t="s">
        <v>91</v>
      </c>
      <c r="D47" s="21">
        <f t="shared" ref="D47:E49" si="2">D48</f>
        <v>1</v>
      </c>
      <c r="E47" s="21">
        <f t="shared" si="2"/>
        <v>0.39</v>
      </c>
      <c r="F47" s="27">
        <f t="shared" si="0"/>
        <v>39</v>
      </c>
    </row>
    <row r="48" spans="1:6">
      <c r="A48" s="58" t="s">
        <v>67</v>
      </c>
      <c r="B48" s="15" t="s">
        <v>146</v>
      </c>
      <c r="C48" s="15" t="s">
        <v>91</v>
      </c>
      <c r="D48" s="21">
        <f t="shared" si="2"/>
        <v>1</v>
      </c>
      <c r="E48" s="21">
        <f t="shared" si="2"/>
        <v>0.39</v>
      </c>
      <c r="F48" s="27">
        <f t="shared" si="0"/>
        <v>39</v>
      </c>
    </row>
    <row r="49" spans="1:6">
      <c r="A49" s="62" t="s">
        <v>68</v>
      </c>
      <c r="B49" s="15" t="s">
        <v>147</v>
      </c>
      <c r="C49" s="15" t="s">
        <v>91</v>
      </c>
      <c r="D49" s="21">
        <f t="shared" si="2"/>
        <v>1</v>
      </c>
      <c r="E49" s="21">
        <f t="shared" si="2"/>
        <v>0.39</v>
      </c>
      <c r="F49" s="27">
        <f t="shared" si="0"/>
        <v>39</v>
      </c>
    </row>
    <row r="50" spans="1:6">
      <c r="A50" s="50" t="s">
        <v>180</v>
      </c>
      <c r="B50" s="15" t="s">
        <v>147</v>
      </c>
      <c r="C50" s="15" t="s">
        <v>173</v>
      </c>
      <c r="D50" s="21">
        <v>1</v>
      </c>
      <c r="E50" s="21">
        <v>0.39</v>
      </c>
      <c r="F50" s="27">
        <f t="shared" si="0"/>
        <v>39</v>
      </c>
    </row>
    <row r="51" spans="1:6">
      <c r="A51" s="58" t="s">
        <v>114</v>
      </c>
      <c r="B51" s="15" t="s">
        <v>148</v>
      </c>
      <c r="C51" s="15" t="s">
        <v>91</v>
      </c>
      <c r="D51" s="21">
        <f>D52+D55+D57+D59+D61</f>
        <v>7173.0209999999997</v>
      </c>
      <c r="E51" s="21">
        <f>E52+E55+E57+E59+E61</f>
        <v>6356.0125999999991</v>
      </c>
      <c r="F51" s="27">
        <f t="shared" si="0"/>
        <v>88.609981763611174</v>
      </c>
    </row>
    <row r="52" spans="1:6">
      <c r="A52" s="58" t="s">
        <v>67</v>
      </c>
      <c r="B52" s="15" t="s">
        <v>149</v>
      </c>
      <c r="C52" s="15" t="s">
        <v>91</v>
      </c>
      <c r="D52" s="21">
        <f>D53</f>
        <v>1164.461</v>
      </c>
      <c r="E52" s="21">
        <f>E53</f>
        <v>347.59897999999998</v>
      </c>
      <c r="F52" s="27">
        <f t="shared" si="0"/>
        <v>29.850633039663844</v>
      </c>
    </row>
    <row r="53" spans="1:6">
      <c r="A53" s="58" t="s">
        <v>69</v>
      </c>
      <c r="B53" s="15" t="s">
        <v>150</v>
      </c>
      <c r="C53" s="15" t="s">
        <v>91</v>
      </c>
      <c r="D53" s="21">
        <f>D54</f>
        <v>1164.461</v>
      </c>
      <c r="E53" s="21">
        <f>E54</f>
        <v>347.59897999999998</v>
      </c>
      <c r="F53" s="27">
        <f t="shared" si="0"/>
        <v>29.850633039663844</v>
      </c>
    </row>
    <row r="54" spans="1:6">
      <c r="A54" s="50" t="s">
        <v>180</v>
      </c>
      <c r="B54" s="15" t="s">
        <v>150</v>
      </c>
      <c r="C54" s="15" t="s">
        <v>173</v>
      </c>
      <c r="D54" s="21">
        <f>1129.421+35+0.04</f>
        <v>1164.461</v>
      </c>
      <c r="E54" s="21">
        <v>347.59897999999998</v>
      </c>
      <c r="F54" s="27">
        <f t="shared" si="0"/>
        <v>29.850633039663844</v>
      </c>
    </row>
    <row r="55" spans="1:6" ht="39.6">
      <c r="A55" s="50" t="s">
        <v>387</v>
      </c>
      <c r="B55" s="15" t="s">
        <v>408</v>
      </c>
      <c r="C55" s="15" t="s">
        <v>91</v>
      </c>
      <c r="D55" s="21">
        <f>D56</f>
        <v>4151</v>
      </c>
      <c r="E55" s="21">
        <f>E56</f>
        <v>4151</v>
      </c>
      <c r="F55" s="27">
        <f t="shared" si="0"/>
        <v>100</v>
      </c>
    </row>
    <row r="56" spans="1:6">
      <c r="A56" s="50" t="s">
        <v>180</v>
      </c>
      <c r="B56" s="15" t="s">
        <v>408</v>
      </c>
      <c r="C56" s="15" t="s">
        <v>173</v>
      </c>
      <c r="D56" s="21">
        <v>4151</v>
      </c>
      <c r="E56" s="21">
        <v>4151</v>
      </c>
      <c r="F56" s="27">
        <f t="shared" si="0"/>
        <v>100</v>
      </c>
    </row>
    <row r="57" spans="1:6" ht="52.8">
      <c r="A57" s="50" t="s">
        <v>409</v>
      </c>
      <c r="B57" s="15" t="s">
        <v>410</v>
      </c>
      <c r="C57" s="15" t="s">
        <v>91</v>
      </c>
      <c r="D57" s="21">
        <f>D58</f>
        <v>4.16</v>
      </c>
      <c r="E57" s="21">
        <f>E58</f>
        <v>4.1559999999999997</v>
      </c>
      <c r="F57" s="27">
        <f t="shared" si="0"/>
        <v>99.903846153846146</v>
      </c>
    </row>
    <row r="58" spans="1:6">
      <c r="A58" s="50" t="s">
        <v>180</v>
      </c>
      <c r="B58" s="15" t="s">
        <v>410</v>
      </c>
      <c r="C58" s="15" t="s">
        <v>173</v>
      </c>
      <c r="D58" s="21">
        <f>4.2-0.04</f>
        <v>4.16</v>
      </c>
      <c r="E58" s="21">
        <v>4.1559999999999997</v>
      </c>
      <c r="F58" s="27">
        <f t="shared" si="0"/>
        <v>99.903846153846146</v>
      </c>
    </row>
    <row r="59" spans="1:6" ht="26.4">
      <c r="A59" s="64" t="s">
        <v>386</v>
      </c>
      <c r="B59" s="15" t="s">
        <v>411</v>
      </c>
      <c r="C59" s="15" t="s">
        <v>91</v>
      </c>
      <c r="D59" s="21">
        <f>D60</f>
        <v>1834.7</v>
      </c>
      <c r="E59" s="21">
        <f>E60</f>
        <v>1834.6510000000001</v>
      </c>
      <c r="F59" s="27">
        <f t="shared" si="0"/>
        <v>99.997329263639827</v>
      </c>
    </row>
    <row r="60" spans="1:6">
      <c r="A60" s="50" t="s">
        <v>180</v>
      </c>
      <c r="B60" s="15" t="s">
        <v>411</v>
      </c>
      <c r="C60" s="15" t="s">
        <v>173</v>
      </c>
      <c r="D60" s="21">
        <f>1843.9-9.2</f>
        <v>1834.7</v>
      </c>
      <c r="E60" s="21">
        <v>1834.6510000000001</v>
      </c>
      <c r="F60" s="27">
        <f t="shared" si="0"/>
        <v>99.997329263639827</v>
      </c>
    </row>
    <row r="61" spans="1:6" ht="26.4">
      <c r="A61" s="64" t="s">
        <v>412</v>
      </c>
      <c r="B61" s="15" t="s">
        <v>413</v>
      </c>
      <c r="C61" s="15" t="s">
        <v>91</v>
      </c>
      <c r="D61" s="21">
        <f>D62</f>
        <v>18.7</v>
      </c>
      <c r="E61" s="21">
        <f>E62</f>
        <v>18.606619999999999</v>
      </c>
      <c r="F61" s="27">
        <f t="shared" si="0"/>
        <v>99.500641711229946</v>
      </c>
    </row>
    <row r="62" spans="1:6">
      <c r="A62" s="50" t="s">
        <v>180</v>
      </c>
      <c r="B62" s="15" t="s">
        <v>413</v>
      </c>
      <c r="C62" s="15" t="s">
        <v>173</v>
      </c>
      <c r="D62" s="21">
        <f>18.7</f>
        <v>18.7</v>
      </c>
      <c r="E62" s="21">
        <v>18.606619999999999</v>
      </c>
      <c r="F62" s="27">
        <f t="shared" si="0"/>
        <v>99.500641711229946</v>
      </c>
    </row>
    <row r="63" spans="1:6">
      <c r="A63" s="67" t="s">
        <v>113</v>
      </c>
      <c r="B63" s="15" t="s">
        <v>217</v>
      </c>
      <c r="C63" s="15" t="s">
        <v>91</v>
      </c>
      <c r="D63" s="21">
        <f>D64+D69+D71+D67+D73</f>
        <v>9698.8850000000002</v>
      </c>
      <c r="E63" s="21">
        <f>E64+E69+E71+E67+E73</f>
        <v>9670.4303099999997</v>
      </c>
      <c r="F63" s="27">
        <f t="shared" si="0"/>
        <v>99.706618956715118</v>
      </c>
    </row>
    <row r="64" spans="1:6">
      <c r="A64" s="58" t="s">
        <v>67</v>
      </c>
      <c r="B64" s="15" t="s">
        <v>216</v>
      </c>
      <c r="C64" s="15" t="s">
        <v>91</v>
      </c>
      <c r="D64" s="21">
        <f>D65</f>
        <v>103.39500000000001</v>
      </c>
      <c r="E64" s="21">
        <f>E65</f>
        <v>74.945310000000006</v>
      </c>
      <c r="F64" s="27">
        <f t="shared" si="0"/>
        <v>72.484462498186559</v>
      </c>
    </row>
    <row r="65" spans="1:6">
      <c r="A65" s="67" t="s">
        <v>73</v>
      </c>
      <c r="B65" s="15" t="s">
        <v>215</v>
      </c>
      <c r="C65" s="15" t="s">
        <v>91</v>
      </c>
      <c r="D65" s="21">
        <f>D66</f>
        <v>103.39500000000001</v>
      </c>
      <c r="E65" s="21">
        <f>E66</f>
        <v>74.945310000000006</v>
      </c>
      <c r="F65" s="27">
        <f t="shared" si="0"/>
        <v>72.484462498186559</v>
      </c>
    </row>
    <row r="66" spans="1:6">
      <c r="A66" s="50" t="s">
        <v>180</v>
      </c>
      <c r="B66" s="15" t="s">
        <v>215</v>
      </c>
      <c r="C66" s="15" t="s">
        <v>173</v>
      </c>
      <c r="D66" s="21">
        <f>82.4+20.885+0.11</f>
        <v>103.39500000000001</v>
      </c>
      <c r="E66" s="21">
        <v>74.945310000000006</v>
      </c>
      <c r="F66" s="27">
        <f t="shared" si="0"/>
        <v>72.484462498186559</v>
      </c>
    </row>
    <row r="67" spans="1:6" ht="26.4">
      <c r="A67" s="69" t="s">
        <v>427</v>
      </c>
      <c r="B67" s="15" t="s">
        <v>428</v>
      </c>
      <c r="C67" s="15" t="s">
        <v>91</v>
      </c>
      <c r="D67" s="21">
        <f>D68</f>
        <v>494.47989999999999</v>
      </c>
      <c r="E67" s="21">
        <f>E68</f>
        <v>494.47834999999998</v>
      </c>
      <c r="F67" s="27">
        <f t="shared" si="0"/>
        <v>99.99968653933152</v>
      </c>
    </row>
    <row r="68" spans="1:6">
      <c r="A68" s="50" t="s">
        <v>180</v>
      </c>
      <c r="B68" s="15" t="s">
        <v>428</v>
      </c>
      <c r="C68" s="15" t="s">
        <v>173</v>
      </c>
      <c r="D68" s="21">
        <f>494.5-0.11+0.0899</f>
        <v>494.47989999999999</v>
      </c>
      <c r="E68" s="21">
        <v>494.47834999999998</v>
      </c>
      <c r="F68" s="27">
        <f t="shared" si="0"/>
        <v>99.99968653933152</v>
      </c>
    </row>
    <row r="69" spans="1:6" ht="26.4">
      <c r="A69" s="70" t="s">
        <v>429</v>
      </c>
      <c r="B69" s="15" t="s">
        <v>430</v>
      </c>
      <c r="C69" s="15" t="s">
        <v>91</v>
      </c>
      <c r="D69" s="21">
        <f>D70</f>
        <v>8020</v>
      </c>
      <c r="E69" s="21">
        <f>E70</f>
        <v>8020</v>
      </c>
      <c r="F69" s="27">
        <f t="shared" si="0"/>
        <v>100</v>
      </c>
    </row>
    <row r="70" spans="1:6">
      <c r="A70" s="50" t="s">
        <v>180</v>
      </c>
      <c r="B70" s="15" t="s">
        <v>430</v>
      </c>
      <c r="C70" s="15" t="s">
        <v>173</v>
      </c>
      <c r="D70" s="21">
        <v>8020</v>
      </c>
      <c r="E70" s="21">
        <v>8020</v>
      </c>
      <c r="F70" s="27">
        <f t="shared" si="0"/>
        <v>100</v>
      </c>
    </row>
    <row r="71" spans="1:6" ht="26.4">
      <c r="A71" s="70" t="s">
        <v>431</v>
      </c>
      <c r="B71" s="15" t="s">
        <v>432</v>
      </c>
      <c r="C71" s="15" t="s">
        <v>91</v>
      </c>
      <c r="D71" s="21">
        <f>D72</f>
        <v>81.010099999999994</v>
      </c>
      <c r="E71" s="21">
        <f>E72</f>
        <v>81.010099999999994</v>
      </c>
      <c r="F71" s="27">
        <f t="shared" si="0"/>
        <v>100</v>
      </c>
    </row>
    <row r="72" spans="1:6">
      <c r="A72" s="50" t="s">
        <v>180</v>
      </c>
      <c r="B72" s="15" t="s">
        <v>432</v>
      </c>
      <c r="C72" s="15" t="s">
        <v>173</v>
      </c>
      <c r="D72" s="21">
        <f>81.1-0.0899</f>
        <v>81.010099999999994</v>
      </c>
      <c r="E72" s="21">
        <v>81.010099999999994</v>
      </c>
      <c r="F72" s="27">
        <f t="shared" si="0"/>
        <v>100</v>
      </c>
    </row>
    <row r="73" spans="1:6">
      <c r="A73" s="60" t="s">
        <v>235</v>
      </c>
      <c r="B73" s="15" t="s">
        <v>433</v>
      </c>
      <c r="C73" s="15" t="s">
        <v>91</v>
      </c>
      <c r="D73" s="21">
        <f>D74</f>
        <v>1000</v>
      </c>
      <c r="E73" s="21">
        <f>E74</f>
        <v>999.99654999999996</v>
      </c>
      <c r="F73" s="27">
        <f t="shared" si="0"/>
        <v>99.999655000000004</v>
      </c>
    </row>
    <row r="74" spans="1:6">
      <c r="A74" s="50" t="s">
        <v>180</v>
      </c>
      <c r="B74" s="15" t="s">
        <v>433</v>
      </c>
      <c r="C74" s="15" t="s">
        <v>173</v>
      </c>
      <c r="D74" s="21">
        <v>1000</v>
      </c>
      <c r="E74" s="21">
        <v>999.99654999999996</v>
      </c>
      <c r="F74" s="27">
        <f t="shared" si="0"/>
        <v>99.999655000000004</v>
      </c>
    </row>
    <row r="75" spans="1:6">
      <c r="A75" s="61" t="s">
        <v>108</v>
      </c>
      <c r="B75" s="15" t="s">
        <v>151</v>
      </c>
      <c r="C75" s="15" t="s">
        <v>91</v>
      </c>
      <c r="D75" s="21">
        <f>D76</f>
        <v>5041.3630000000003</v>
      </c>
      <c r="E75" s="21">
        <f>E76</f>
        <v>4334.6943000000001</v>
      </c>
      <c r="F75" s="27">
        <f t="shared" ref="F75:F122" si="3">E75/D75*100</f>
        <v>85.982586455289962</v>
      </c>
    </row>
    <row r="76" spans="1:6">
      <c r="A76" s="58" t="s">
        <v>67</v>
      </c>
      <c r="B76" s="15" t="s">
        <v>152</v>
      </c>
      <c r="C76" s="15" t="s">
        <v>91</v>
      </c>
      <c r="D76" s="21">
        <f>D77+D79+D81</f>
        <v>5041.3630000000003</v>
      </c>
      <c r="E76" s="21">
        <f>E77+E79+E81</f>
        <v>4334.6943000000001</v>
      </c>
      <c r="F76" s="27">
        <f t="shared" si="3"/>
        <v>85.982586455289962</v>
      </c>
    </row>
    <row r="77" spans="1:6">
      <c r="A77" s="58" t="s">
        <v>70</v>
      </c>
      <c r="B77" s="15" t="s">
        <v>153</v>
      </c>
      <c r="C77" s="15" t="s">
        <v>91</v>
      </c>
      <c r="D77" s="21">
        <f>D78</f>
        <v>3556.6630000000005</v>
      </c>
      <c r="E77" s="21">
        <f>E78</f>
        <v>3186.0464900000002</v>
      </c>
      <c r="F77" s="27">
        <f t="shared" si="3"/>
        <v>89.579656267686872</v>
      </c>
    </row>
    <row r="78" spans="1:6">
      <c r="A78" s="50" t="s">
        <v>180</v>
      </c>
      <c r="B78" s="15" t="s">
        <v>153</v>
      </c>
      <c r="C78" s="15" t="s">
        <v>173</v>
      </c>
      <c r="D78" s="21">
        <f>3351.503+179.3+100+7.86-59-23</f>
        <v>3556.6630000000005</v>
      </c>
      <c r="E78" s="21">
        <v>3186.0464900000002</v>
      </c>
      <c r="F78" s="27">
        <f t="shared" si="3"/>
        <v>89.579656267686872</v>
      </c>
    </row>
    <row r="79" spans="1:6">
      <c r="A79" s="58" t="s">
        <v>0</v>
      </c>
      <c r="B79" s="15" t="s">
        <v>154</v>
      </c>
      <c r="C79" s="15" t="s">
        <v>91</v>
      </c>
      <c r="D79" s="21">
        <f>D80</f>
        <v>648.4</v>
      </c>
      <c r="E79" s="21">
        <f>E80</f>
        <v>445.25783999999999</v>
      </c>
      <c r="F79" s="27">
        <f t="shared" si="3"/>
        <v>68.670240592227017</v>
      </c>
    </row>
    <row r="80" spans="1:6">
      <c r="A80" s="50" t="s">
        <v>180</v>
      </c>
      <c r="B80" s="15" t="s">
        <v>154</v>
      </c>
      <c r="C80" s="15" t="s">
        <v>173</v>
      </c>
      <c r="D80" s="21">
        <f>357+5+286.4</f>
        <v>648.4</v>
      </c>
      <c r="E80" s="21">
        <v>445.25783999999999</v>
      </c>
      <c r="F80" s="27">
        <f t="shared" si="3"/>
        <v>68.670240592227017</v>
      </c>
    </row>
    <row r="81" spans="1:6">
      <c r="A81" s="58" t="s">
        <v>1</v>
      </c>
      <c r="B81" s="15" t="s">
        <v>155</v>
      </c>
      <c r="C81" s="15" t="s">
        <v>91</v>
      </c>
      <c r="D81" s="21">
        <f>D82</f>
        <v>836.3</v>
      </c>
      <c r="E81" s="21">
        <f>E82</f>
        <v>703.38996999999995</v>
      </c>
      <c r="F81" s="27">
        <f t="shared" si="3"/>
        <v>84.107374148033003</v>
      </c>
    </row>
    <row r="82" spans="1:6">
      <c r="A82" s="50" t="s">
        <v>236</v>
      </c>
      <c r="B82" s="15" t="s">
        <v>155</v>
      </c>
      <c r="C82" s="15" t="s">
        <v>173</v>
      </c>
      <c r="D82" s="21">
        <f>14.8+872.4-50.9</f>
        <v>836.3</v>
      </c>
      <c r="E82" s="21">
        <v>703.38996999999995</v>
      </c>
      <c r="F82" s="27">
        <f t="shared" si="3"/>
        <v>84.107374148033003</v>
      </c>
    </row>
    <row r="83" spans="1:6">
      <c r="A83" s="50" t="s">
        <v>417</v>
      </c>
      <c r="B83" s="15" t="s">
        <v>418</v>
      </c>
      <c r="C83" s="15" t="s">
        <v>91</v>
      </c>
      <c r="D83" s="21">
        <f>D84</f>
        <v>697.14499999999998</v>
      </c>
      <c r="E83" s="21">
        <f>E84</f>
        <v>697.13588000000004</v>
      </c>
      <c r="F83" s="27">
        <f t="shared" si="3"/>
        <v>99.998691807299778</v>
      </c>
    </row>
    <row r="84" spans="1:6">
      <c r="A84" s="50" t="s">
        <v>419</v>
      </c>
      <c r="B84" s="15" t="s">
        <v>418</v>
      </c>
      <c r="C84" s="15" t="s">
        <v>91</v>
      </c>
      <c r="D84" s="21">
        <f>D85+D87+D91+D89</f>
        <v>697.14499999999998</v>
      </c>
      <c r="E84" s="21">
        <f>E85+E87+E91+E89</f>
        <v>697.13588000000004</v>
      </c>
      <c r="F84" s="27">
        <f t="shared" si="3"/>
        <v>99.998691807299778</v>
      </c>
    </row>
    <row r="85" spans="1:6" ht="39.6">
      <c r="A85" s="50" t="s">
        <v>420</v>
      </c>
      <c r="B85" s="15" t="s">
        <v>421</v>
      </c>
      <c r="C85" s="15" t="s">
        <v>91</v>
      </c>
      <c r="D85" s="21">
        <f>D86</f>
        <v>230.09200000000001</v>
      </c>
      <c r="E85" s="21">
        <f>E86</f>
        <v>230.09200000000001</v>
      </c>
      <c r="F85" s="27">
        <f t="shared" si="3"/>
        <v>100</v>
      </c>
    </row>
    <row r="86" spans="1:6">
      <c r="A86" s="50" t="s">
        <v>236</v>
      </c>
      <c r="B86" s="15" t="s">
        <v>421</v>
      </c>
      <c r="C86" s="15" t="s">
        <v>173</v>
      </c>
      <c r="D86" s="21">
        <v>230.09200000000001</v>
      </c>
      <c r="E86" s="21">
        <v>230.09200000000001</v>
      </c>
      <c r="F86" s="27">
        <f t="shared" si="3"/>
        <v>100</v>
      </c>
    </row>
    <row r="87" spans="1:6" ht="39.6">
      <c r="A87" s="50" t="s">
        <v>422</v>
      </c>
      <c r="B87" s="15" t="s">
        <v>423</v>
      </c>
      <c r="C87" s="15" t="s">
        <v>91</v>
      </c>
      <c r="D87" s="21">
        <f>D88</f>
        <v>180.04</v>
      </c>
      <c r="E87" s="21">
        <f>E88</f>
        <v>180.04</v>
      </c>
      <c r="F87" s="27">
        <f t="shared" si="3"/>
        <v>100</v>
      </c>
    </row>
    <row r="88" spans="1:6">
      <c r="A88" s="50" t="s">
        <v>236</v>
      </c>
      <c r="B88" s="15" t="s">
        <v>423</v>
      </c>
      <c r="C88" s="15" t="s">
        <v>173</v>
      </c>
      <c r="D88" s="21">
        <v>180.04</v>
      </c>
      <c r="E88" s="21">
        <v>180.04</v>
      </c>
      <c r="F88" s="27">
        <f t="shared" si="3"/>
        <v>100</v>
      </c>
    </row>
    <row r="89" spans="1:6" ht="39.6">
      <c r="A89" s="50" t="s">
        <v>422</v>
      </c>
      <c r="B89" s="15" t="s">
        <v>424</v>
      </c>
      <c r="C89" s="15" t="s">
        <v>91</v>
      </c>
      <c r="D89" s="21">
        <f>D90</f>
        <v>190</v>
      </c>
      <c r="E89" s="21">
        <f>E90</f>
        <v>190</v>
      </c>
      <c r="F89" s="27">
        <f t="shared" si="3"/>
        <v>100</v>
      </c>
    </row>
    <row r="90" spans="1:6">
      <c r="A90" s="50" t="s">
        <v>236</v>
      </c>
      <c r="B90" s="15" t="s">
        <v>424</v>
      </c>
      <c r="C90" s="15" t="s">
        <v>173</v>
      </c>
      <c r="D90" s="21">
        <v>190</v>
      </c>
      <c r="E90" s="21">
        <v>190</v>
      </c>
      <c r="F90" s="27">
        <f t="shared" si="3"/>
        <v>100</v>
      </c>
    </row>
    <row r="91" spans="1:6" ht="39.6">
      <c r="A91" s="50" t="s">
        <v>425</v>
      </c>
      <c r="B91" s="15" t="s">
        <v>426</v>
      </c>
      <c r="C91" s="15" t="s">
        <v>91</v>
      </c>
      <c r="D91" s="21">
        <f>D92</f>
        <v>97.013000000000005</v>
      </c>
      <c r="E91" s="21">
        <f>E92</f>
        <v>97.003879999999995</v>
      </c>
      <c r="F91" s="27">
        <f t="shared" si="3"/>
        <v>99.990599198045615</v>
      </c>
    </row>
    <row r="92" spans="1:6">
      <c r="A92" s="50" t="s">
        <v>236</v>
      </c>
      <c r="B92" s="15" t="s">
        <v>426</v>
      </c>
      <c r="C92" s="15" t="s">
        <v>173</v>
      </c>
      <c r="D92" s="21">
        <f>104.873-7.86</f>
        <v>97.013000000000005</v>
      </c>
      <c r="E92" s="21">
        <v>97.003879999999995</v>
      </c>
      <c r="F92" s="27">
        <f t="shared" si="3"/>
        <v>99.990599198045615</v>
      </c>
    </row>
    <row r="93" spans="1:6">
      <c r="A93" s="58" t="s">
        <v>109</v>
      </c>
      <c r="B93" s="15" t="s">
        <v>156</v>
      </c>
      <c r="C93" s="15" t="s">
        <v>91</v>
      </c>
      <c r="D93" s="21">
        <f>D97+D94</f>
        <v>74.8</v>
      </c>
      <c r="E93" s="21">
        <f>E97+E94</f>
        <v>28.400000000000002</v>
      </c>
      <c r="F93" s="27">
        <f t="shared" si="3"/>
        <v>37.967914438502675</v>
      </c>
    </row>
    <row r="94" spans="1:6">
      <c r="A94" s="58" t="s">
        <v>67</v>
      </c>
      <c r="B94" s="15" t="s">
        <v>157</v>
      </c>
      <c r="C94" s="15" t="s">
        <v>91</v>
      </c>
      <c r="D94" s="21">
        <f>D95</f>
        <v>50</v>
      </c>
      <c r="E94" s="21">
        <f>E95</f>
        <v>3.6</v>
      </c>
      <c r="F94" s="27">
        <f t="shared" si="3"/>
        <v>7.2000000000000011</v>
      </c>
    </row>
    <row r="95" spans="1:6">
      <c r="A95" s="58" t="s">
        <v>237</v>
      </c>
      <c r="B95" s="15" t="s">
        <v>158</v>
      </c>
      <c r="C95" s="15" t="s">
        <v>91</v>
      </c>
      <c r="D95" s="21">
        <f>D96</f>
        <v>50</v>
      </c>
      <c r="E95" s="21">
        <f>E96</f>
        <v>3.6</v>
      </c>
      <c r="F95" s="27">
        <f t="shared" si="3"/>
        <v>7.2000000000000011</v>
      </c>
    </row>
    <row r="96" spans="1:6">
      <c r="A96" s="50" t="s">
        <v>180</v>
      </c>
      <c r="B96" s="15" t="s">
        <v>158</v>
      </c>
      <c r="C96" s="15" t="s">
        <v>173</v>
      </c>
      <c r="D96" s="21">
        <f>35+15</f>
        <v>50</v>
      </c>
      <c r="E96" s="21">
        <v>3.6</v>
      </c>
      <c r="F96" s="27">
        <f t="shared" si="3"/>
        <v>7.2000000000000011</v>
      </c>
    </row>
    <row r="97" spans="1:6" ht="26.4">
      <c r="A97" s="58" t="s">
        <v>116</v>
      </c>
      <c r="B97" s="15" t="s">
        <v>159</v>
      </c>
      <c r="C97" s="15" t="s">
        <v>91</v>
      </c>
      <c r="D97" s="21">
        <f>D98+D100</f>
        <v>24.8</v>
      </c>
      <c r="E97" s="21">
        <f>E98+E100</f>
        <v>24.8</v>
      </c>
      <c r="F97" s="27">
        <f t="shared" si="3"/>
        <v>100</v>
      </c>
    </row>
    <row r="98" spans="1:6" ht="39.6">
      <c r="A98" s="62" t="s">
        <v>238</v>
      </c>
      <c r="B98" s="15" t="s">
        <v>160</v>
      </c>
      <c r="C98" s="15" t="s">
        <v>91</v>
      </c>
      <c r="D98" s="21">
        <f>D99</f>
        <v>19.8</v>
      </c>
      <c r="E98" s="21">
        <f>E99</f>
        <v>19.8</v>
      </c>
      <c r="F98" s="27">
        <f t="shared" si="3"/>
        <v>100</v>
      </c>
    </row>
    <row r="99" spans="1:6">
      <c r="A99" s="50" t="s">
        <v>176</v>
      </c>
      <c r="B99" s="15" t="s">
        <v>160</v>
      </c>
      <c r="C99" s="15" t="s">
        <v>175</v>
      </c>
      <c r="D99" s="21">
        <f>19.8</f>
        <v>19.8</v>
      </c>
      <c r="E99" s="21">
        <v>19.8</v>
      </c>
      <c r="F99" s="27">
        <f t="shared" si="3"/>
        <v>100</v>
      </c>
    </row>
    <row r="100" spans="1:6" ht="26.4">
      <c r="A100" s="58" t="s">
        <v>239</v>
      </c>
      <c r="B100" s="15" t="s">
        <v>161</v>
      </c>
      <c r="C100" s="15" t="s">
        <v>91</v>
      </c>
      <c r="D100" s="21">
        <f>D101</f>
        <v>5</v>
      </c>
      <c r="E100" s="21">
        <f>E101</f>
        <v>5</v>
      </c>
      <c r="F100" s="27">
        <f t="shared" si="3"/>
        <v>100</v>
      </c>
    </row>
    <row r="101" spans="1:6">
      <c r="A101" s="50" t="s">
        <v>176</v>
      </c>
      <c r="B101" s="15" t="s">
        <v>161</v>
      </c>
      <c r="C101" s="15" t="s">
        <v>175</v>
      </c>
      <c r="D101" s="21">
        <v>5</v>
      </c>
      <c r="E101" s="21">
        <v>5</v>
      </c>
      <c r="F101" s="27">
        <f t="shared" si="3"/>
        <v>100</v>
      </c>
    </row>
    <row r="102" spans="1:6">
      <c r="A102" s="60" t="s">
        <v>110</v>
      </c>
      <c r="B102" s="15" t="s">
        <v>162</v>
      </c>
      <c r="C102" s="15" t="s">
        <v>91</v>
      </c>
      <c r="D102" s="21">
        <f>D103+D106</f>
        <v>5272.4</v>
      </c>
      <c r="E102" s="21">
        <f>E103+E106</f>
        <v>5016.1064099999994</v>
      </c>
      <c r="F102" s="27">
        <f t="shared" si="3"/>
        <v>95.138957780138071</v>
      </c>
    </row>
    <row r="103" spans="1:6">
      <c r="A103" s="58" t="s">
        <v>189</v>
      </c>
      <c r="B103" s="15" t="s">
        <v>163</v>
      </c>
      <c r="C103" s="15" t="s">
        <v>91</v>
      </c>
      <c r="D103" s="21">
        <f>D104</f>
        <v>720.5</v>
      </c>
      <c r="E103" s="21">
        <f>E104</f>
        <v>686.27913999999998</v>
      </c>
      <c r="F103" s="27">
        <f t="shared" si="3"/>
        <v>95.25040111034005</v>
      </c>
    </row>
    <row r="104" spans="1:6">
      <c r="A104" s="58" t="s">
        <v>75</v>
      </c>
      <c r="B104" s="15" t="s">
        <v>164</v>
      </c>
      <c r="C104" s="15" t="s">
        <v>91</v>
      </c>
      <c r="D104" s="21">
        <f>D105</f>
        <v>720.5</v>
      </c>
      <c r="E104" s="21">
        <f>E105</f>
        <v>686.27913999999998</v>
      </c>
      <c r="F104" s="27">
        <f t="shared" si="3"/>
        <v>95.25040111034005</v>
      </c>
    </row>
    <row r="105" spans="1:6" ht="39.6">
      <c r="A105" s="60" t="s">
        <v>172</v>
      </c>
      <c r="B105" s="15" t="s">
        <v>164</v>
      </c>
      <c r="C105" s="15" t="s">
        <v>171</v>
      </c>
      <c r="D105" s="21">
        <f>548+4.5+1+167</f>
        <v>720.5</v>
      </c>
      <c r="E105" s="21">
        <v>686.27913999999998</v>
      </c>
      <c r="F105" s="27">
        <f t="shared" si="3"/>
        <v>95.25040111034005</v>
      </c>
    </row>
    <row r="106" spans="1:6">
      <c r="A106" s="58" t="s">
        <v>67</v>
      </c>
      <c r="B106" s="15" t="s">
        <v>165</v>
      </c>
      <c r="C106" s="15" t="s">
        <v>91</v>
      </c>
      <c r="D106" s="21">
        <f>D107</f>
        <v>4551.8999999999996</v>
      </c>
      <c r="E106" s="21">
        <f>E107</f>
        <v>4329.8272699999998</v>
      </c>
      <c r="F106" s="27">
        <f t="shared" si="3"/>
        <v>95.121317911201913</v>
      </c>
    </row>
    <row r="107" spans="1:6">
      <c r="A107" s="60" t="s">
        <v>71</v>
      </c>
      <c r="B107" s="15" t="s">
        <v>166</v>
      </c>
      <c r="C107" s="15" t="s">
        <v>91</v>
      </c>
      <c r="D107" s="21">
        <f>D108+D109</f>
        <v>4551.8999999999996</v>
      </c>
      <c r="E107" s="21">
        <f>E108+E109</f>
        <v>4329.8272699999998</v>
      </c>
      <c r="F107" s="27">
        <f t="shared" si="3"/>
        <v>95.121317911201913</v>
      </c>
    </row>
    <row r="108" spans="1:6">
      <c r="A108" s="50" t="s">
        <v>180</v>
      </c>
      <c r="B108" s="15" t="s">
        <v>166</v>
      </c>
      <c r="C108" s="15" t="s">
        <v>173</v>
      </c>
      <c r="D108" s="21">
        <f>1085.821+575+296.038+15+2075.4+45.8+352.7+100</f>
        <v>4545.759</v>
      </c>
      <c r="E108" s="21">
        <v>4323.6862700000001</v>
      </c>
      <c r="F108" s="27">
        <f t="shared" si="3"/>
        <v>95.114727155575125</v>
      </c>
    </row>
    <row r="109" spans="1:6">
      <c r="A109" s="50" t="s">
        <v>181</v>
      </c>
      <c r="B109" s="15" t="s">
        <v>166</v>
      </c>
      <c r="C109" s="15" t="s">
        <v>174</v>
      </c>
      <c r="D109" s="21">
        <v>6.141</v>
      </c>
      <c r="E109" s="21">
        <v>6.141</v>
      </c>
      <c r="F109" s="27">
        <f t="shared" si="3"/>
        <v>100</v>
      </c>
    </row>
    <row r="110" spans="1:6">
      <c r="A110" s="60" t="s">
        <v>111</v>
      </c>
      <c r="B110" s="15" t="s">
        <v>167</v>
      </c>
      <c r="C110" s="15" t="s">
        <v>91</v>
      </c>
      <c r="D110" s="21">
        <f>D111+D114</f>
        <v>242.5</v>
      </c>
      <c r="E110" s="21">
        <f>E111+E114</f>
        <v>200.29145</v>
      </c>
      <c r="F110" s="27">
        <f t="shared" si="3"/>
        <v>82.594412371134013</v>
      </c>
    </row>
    <row r="111" spans="1:6">
      <c r="A111" s="58" t="s">
        <v>67</v>
      </c>
      <c r="B111" s="15" t="s">
        <v>168</v>
      </c>
      <c r="C111" s="15" t="s">
        <v>91</v>
      </c>
      <c r="D111" s="21">
        <f>D113</f>
        <v>202</v>
      </c>
      <c r="E111" s="21">
        <f>E113</f>
        <v>159.79145</v>
      </c>
      <c r="F111" s="27">
        <f t="shared" si="3"/>
        <v>79.104678217821771</v>
      </c>
    </row>
    <row r="112" spans="1:6">
      <c r="A112" s="58" t="s">
        <v>72</v>
      </c>
      <c r="B112" s="15" t="s">
        <v>169</v>
      </c>
      <c r="C112" s="15" t="s">
        <v>91</v>
      </c>
      <c r="D112" s="21">
        <f>D113</f>
        <v>202</v>
      </c>
      <c r="E112" s="21">
        <f>E113</f>
        <v>159.79145</v>
      </c>
      <c r="F112" s="27">
        <f t="shared" si="3"/>
        <v>79.104678217821771</v>
      </c>
    </row>
    <row r="113" spans="1:6">
      <c r="A113" s="50" t="s">
        <v>180</v>
      </c>
      <c r="B113" s="15" t="s">
        <v>169</v>
      </c>
      <c r="C113" s="15" t="s">
        <v>173</v>
      </c>
      <c r="D113" s="21">
        <f>158+44</f>
        <v>202</v>
      </c>
      <c r="E113" s="21">
        <v>159.79145</v>
      </c>
      <c r="F113" s="27">
        <f t="shared" si="3"/>
        <v>79.104678217821771</v>
      </c>
    </row>
    <row r="114" spans="1:6" ht="26.4">
      <c r="A114" s="58" t="s">
        <v>116</v>
      </c>
      <c r="B114" s="15" t="s">
        <v>178</v>
      </c>
      <c r="C114" s="15" t="s">
        <v>91</v>
      </c>
      <c r="D114" s="21">
        <f>D115</f>
        <v>40.5</v>
      </c>
      <c r="E114" s="21">
        <f>E115</f>
        <v>40.5</v>
      </c>
      <c r="F114" s="27">
        <f t="shared" si="3"/>
        <v>100</v>
      </c>
    </row>
    <row r="115" spans="1:6" ht="26.4">
      <c r="A115" s="58" t="s">
        <v>15</v>
      </c>
      <c r="B115" s="15" t="s">
        <v>179</v>
      </c>
      <c r="C115" s="15" t="s">
        <v>91</v>
      </c>
      <c r="D115" s="21">
        <f>D116</f>
        <v>40.5</v>
      </c>
      <c r="E115" s="21">
        <f>E116</f>
        <v>40.5</v>
      </c>
      <c r="F115" s="27">
        <f t="shared" si="3"/>
        <v>100</v>
      </c>
    </row>
    <row r="116" spans="1:6">
      <c r="A116" s="50" t="s">
        <v>176</v>
      </c>
      <c r="B116" s="15" t="s">
        <v>179</v>
      </c>
      <c r="C116" s="15" t="s">
        <v>175</v>
      </c>
      <c r="D116" s="21">
        <v>40.5</v>
      </c>
      <c r="E116" s="21">
        <v>40.5</v>
      </c>
      <c r="F116" s="27">
        <f t="shared" si="3"/>
        <v>100</v>
      </c>
    </row>
    <row r="117" spans="1:6" ht="26.4">
      <c r="A117" s="50" t="s">
        <v>240</v>
      </c>
      <c r="B117" s="14" t="s">
        <v>241</v>
      </c>
      <c r="C117" s="14" t="s">
        <v>91</v>
      </c>
      <c r="D117" s="21">
        <f>D120+D122</f>
        <v>4255.8999999999996</v>
      </c>
      <c r="E117" s="21">
        <f>E120+E122</f>
        <v>3684.7232899999999</v>
      </c>
      <c r="F117" s="27">
        <f t="shared" si="3"/>
        <v>86.579179257031427</v>
      </c>
    </row>
    <row r="118" spans="1:6" ht="26.4">
      <c r="A118" s="58" t="s">
        <v>233</v>
      </c>
      <c r="B118" s="14" t="s">
        <v>435</v>
      </c>
      <c r="C118" s="15" t="s">
        <v>91</v>
      </c>
      <c r="D118" s="21">
        <f>D119</f>
        <v>4043</v>
      </c>
      <c r="E118" s="21">
        <f>E119</f>
        <v>3500.3962099999999</v>
      </c>
      <c r="F118" s="27">
        <f t="shared" si="3"/>
        <v>86.579179074944349</v>
      </c>
    </row>
    <row r="119" spans="1:6" ht="26.4">
      <c r="A119" s="62" t="s">
        <v>242</v>
      </c>
      <c r="B119" s="14" t="s">
        <v>415</v>
      </c>
      <c r="C119" s="15" t="s">
        <v>91</v>
      </c>
      <c r="D119" s="21">
        <f>D120</f>
        <v>4043</v>
      </c>
      <c r="E119" s="21">
        <f>E120</f>
        <v>3500.3962099999999</v>
      </c>
      <c r="F119" s="27">
        <f t="shared" si="3"/>
        <v>86.579179074944349</v>
      </c>
    </row>
    <row r="120" spans="1:6">
      <c r="A120" s="50" t="s">
        <v>180</v>
      </c>
      <c r="B120" s="14" t="s">
        <v>415</v>
      </c>
      <c r="C120" s="15" t="s">
        <v>173</v>
      </c>
      <c r="D120" s="21">
        <f>2073.3+1969.7</f>
        <v>4043</v>
      </c>
      <c r="E120" s="21">
        <v>3500.3962099999999</v>
      </c>
      <c r="F120" s="27">
        <f t="shared" si="3"/>
        <v>86.579179074944349</v>
      </c>
    </row>
    <row r="121" spans="1:6" ht="26.4">
      <c r="A121" s="62" t="s">
        <v>243</v>
      </c>
      <c r="B121" s="14" t="s">
        <v>416</v>
      </c>
      <c r="C121" s="15" t="s">
        <v>91</v>
      </c>
      <c r="D121" s="21">
        <f>D122</f>
        <v>212.9</v>
      </c>
      <c r="E121" s="21">
        <f>E122</f>
        <v>184.32708</v>
      </c>
      <c r="F121" s="27">
        <f t="shared" si="3"/>
        <v>86.579182714889612</v>
      </c>
    </row>
    <row r="122" spans="1:6">
      <c r="A122" s="50" t="s">
        <v>180</v>
      </c>
      <c r="B122" s="14" t="s">
        <v>416</v>
      </c>
      <c r="C122" s="15" t="s">
        <v>173</v>
      </c>
      <c r="D122" s="21">
        <f>109.2+103.7</f>
        <v>212.9</v>
      </c>
      <c r="E122" s="21">
        <v>184.32708</v>
      </c>
      <c r="F122" s="27">
        <f t="shared" si="3"/>
        <v>86.579182714889612</v>
      </c>
    </row>
  </sheetData>
  <mergeCells count="5">
    <mergeCell ref="A6:F6"/>
    <mergeCell ref="D1:F1"/>
    <mergeCell ref="D2:F2"/>
    <mergeCell ref="D3:F3"/>
    <mergeCell ref="D4:F4"/>
  </mergeCells>
  <phoneticPr fontId="1" type="noConversion"/>
  <pageMargins left="0.78740157480314965" right="0.39370078740157483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I179"/>
  <sheetViews>
    <sheetView topLeftCell="A2" zoomScale="120" zoomScaleNormal="120" workbookViewId="0">
      <selection activeCell="H180" sqref="H180"/>
    </sheetView>
  </sheetViews>
  <sheetFormatPr defaultColWidth="9.109375" defaultRowHeight="13.2" outlineLevelRow="1"/>
  <cols>
    <col min="1" max="1" width="75" style="2" customWidth="1"/>
    <col min="2" max="2" width="8.44140625" style="6" bestFit="1" customWidth="1"/>
    <col min="3" max="3" width="3.5546875" style="3" bestFit="1" customWidth="1"/>
    <col min="4" max="4" width="7.88671875" style="3" bestFit="1" customWidth="1"/>
    <col min="5" max="5" width="11.6640625" style="2" bestFit="1" customWidth="1"/>
    <col min="6" max="6" width="12" style="2" bestFit="1" customWidth="1"/>
    <col min="7" max="7" width="12.6640625" style="2" customWidth="1"/>
    <col min="8" max="8" width="9.88671875" style="2" bestFit="1" customWidth="1"/>
    <col min="9" max="9" width="9" style="2" bestFit="1" customWidth="1"/>
    <col min="10" max="16384" width="9.109375" style="2"/>
  </cols>
  <sheetData>
    <row r="1" spans="1:9">
      <c r="A1" s="5"/>
      <c r="D1" s="44"/>
      <c r="E1" s="44"/>
      <c r="F1" s="88" t="s">
        <v>130</v>
      </c>
      <c r="G1" s="88"/>
      <c r="H1" s="88"/>
    </row>
    <row r="2" spans="1:9">
      <c r="A2" s="5"/>
      <c r="D2" s="44"/>
      <c r="E2" s="44"/>
      <c r="F2" s="88" t="s">
        <v>223</v>
      </c>
      <c r="G2" s="88"/>
      <c r="H2" s="88"/>
    </row>
    <row r="3" spans="1:9">
      <c r="A3" s="5"/>
      <c r="D3" s="44"/>
      <c r="E3" s="44"/>
      <c r="F3" s="88" t="s">
        <v>78</v>
      </c>
      <c r="G3" s="88"/>
      <c r="H3" s="88"/>
    </row>
    <row r="4" spans="1:9">
      <c r="A4" s="5"/>
      <c r="D4" s="44"/>
      <c r="E4" s="44"/>
      <c r="F4" s="88" t="s">
        <v>222</v>
      </c>
      <c r="G4" s="88"/>
      <c r="H4" s="88"/>
    </row>
    <row r="5" spans="1:9" outlineLevel="1">
      <c r="A5" s="5"/>
      <c r="D5" s="44"/>
      <c r="E5" s="44"/>
      <c r="F5" s="44"/>
    </row>
    <row r="6" spans="1:9">
      <c r="A6" s="89" t="s">
        <v>248</v>
      </c>
      <c r="B6" s="89"/>
      <c r="C6" s="89"/>
      <c r="D6" s="89"/>
      <c r="E6" s="89"/>
      <c r="F6" s="89"/>
      <c r="G6" s="89"/>
      <c r="H6" s="89"/>
    </row>
    <row r="7" spans="1:9">
      <c r="A7" s="89"/>
      <c r="B7" s="89"/>
      <c r="C7" s="89"/>
      <c r="D7" s="89"/>
      <c r="E7" s="89"/>
      <c r="F7" s="89"/>
      <c r="G7" s="89"/>
      <c r="H7" s="89"/>
    </row>
    <row r="8" spans="1:9">
      <c r="A8" s="5"/>
      <c r="D8" s="6"/>
      <c r="E8" s="3"/>
      <c r="F8" s="6"/>
    </row>
    <row r="9" spans="1:9" ht="66">
      <c r="A9" s="45" t="s">
        <v>397</v>
      </c>
      <c r="B9" s="51" t="s">
        <v>398</v>
      </c>
      <c r="C9" s="51" t="s">
        <v>394</v>
      </c>
      <c r="D9" s="51" t="s">
        <v>434</v>
      </c>
      <c r="E9" s="51" t="s">
        <v>88</v>
      </c>
      <c r="F9" s="52" t="s">
        <v>395</v>
      </c>
      <c r="G9" s="46" t="s">
        <v>381</v>
      </c>
      <c r="H9" s="46" t="s">
        <v>396</v>
      </c>
      <c r="I9" s="47" t="s">
        <v>123</v>
      </c>
    </row>
    <row r="10" spans="1:9">
      <c r="A10" s="53" t="s">
        <v>89</v>
      </c>
      <c r="B10" s="54" t="s">
        <v>91</v>
      </c>
      <c r="C10" s="55" t="s">
        <v>90</v>
      </c>
      <c r="D10" s="55" t="s">
        <v>90</v>
      </c>
      <c r="E10" s="55" t="s">
        <v>183</v>
      </c>
      <c r="F10" s="55" t="s">
        <v>91</v>
      </c>
      <c r="G10" s="56">
        <f>G11+G168</f>
        <v>40742.593999999997</v>
      </c>
      <c r="H10" s="56">
        <f>H11+H168</f>
        <v>37944.320709999993</v>
      </c>
      <c r="I10" s="27">
        <f>H10/G10*100</f>
        <v>93.131823442562336</v>
      </c>
    </row>
    <row r="11" spans="1:9">
      <c r="A11" s="53" t="s">
        <v>389</v>
      </c>
      <c r="B11" s="54" t="s">
        <v>244</v>
      </c>
      <c r="C11" s="55" t="s">
        <v>90</v>
      </c>
      <c r="D11" s="55" t="s">
        <v>90</v>
      </c>
      <c r="E11" s="55" t="s">
        <v>183</v>
      </c>
      <c r="F11" s="55" t="s">
        <v>91</v>
      </c>
      <c r="G11" s="56">
        <f>G12+G53+G60+G76+G103+G127+G137+G147+G154</f>
        <v>35470.193999999996</v>
      </c>
      <c r="H11" s="56">
        <f>H12+H53+H60+H76+H103+H127+H137+H147+H154</f>
        <v>32928.214299999992</v>
      </c>
      <c r="I11" s="27">
        <f t="shared" ref="I11:I76" si="0">H11/G11*100</f>
        <v>92.833476749520997</v>
      </c>
    </row>
    <row r="12" spans="1:9">
      <c r="A12" s="57" t="s">
        <v>92</v>
      </c>
      <c r="B12" s="12">
        <v>984</v>
      </c>
      <c r="C12" s="19" t="s">
        <v>93</v>
      </c>
      <c r="D12" s="19" t="s">
        <v>90</v>
      </c>
      <c r="E12" s="19" t="s">
        <v>183</v>
      </c>
      <c r="F12" s="19" t="s">
        <v>91</v>
      </c>
      <c r="G12" s="26">
        <f>G13+G21+G30+G36</f>
        <v>7176.4799999999987</v>
      </c>
      <c r="H12" s="26">
        <f>H13+H21+H30+H36</f>
        <v>6861.3781199999994</v>
      </c>
      <c r="I12" s="27">
        <f t="shared" si="0"/>
        <v>95.609241856731998</v>
      </c>
    </row>
    <row r="13" spans="1:9" ht="26.4">
      <c r="A13" s="58" t="s">
        <v>188</v>
      </c>
      <c r="B13" s="59">
        <v>984</v>
      </c>
      <c r="C13" s="15" t="s">
        <v>93</v>
      </c>
      <c r="D13" s="15" t="s">
        <v>94</v>
      </c>
      <c r="E13" s="15" t="s">
        <v>183</v>
      </c>
      <c r="F13" s="15" t="s">
        <v>91</v>
      </c>
      <c r="G13" s="21">
        <f>G14</f>
        <v>1298.44</v>
      </c>
      <c r="H13" s="21">
        <f>H14</f>
        <v>1297.06702</v>
      </c>
      <c r="I13" s="27">
        <f t="shared" si="0"/>
        <v>99.894259264964106</v>
      </c>
    </row>
    <row r="14" spans="1:9">
      <c r="A14" s="58" t="s">
        <v>65</v>
      </c>
      <c r="B14" s="59">
        <v>984</v>
      </c>
      <c r="C14" s="15" t="s">
        <v>93</v>
      </c>
      <c r="D14" s="15" t="s">
        <v>94</v>
      </c>
      <c r="E14" s="15" t="s">
        <v>184</v>
      </c>
      <c r="F14" s="15" t="s">
        <v>91</v>
      </c>
      <c r="G14" s="21">
        <f>G15</f>
        <v>1298.44</v>
      </c>
      <c r="H14" s="21">
        <f>H15</f>
        <v>1297.06702</v>
      </c>
      <c r="I14" s="27">
        <f t="shared" si="0"/>
        <v>99.894259264964106</v>
      </c>
    </row>
    <row r="15" spans="1:9">
      <c r="A15" s="58" t="s">
        <v>48</v>
      </c>
      <c r="B15" s="59">
        <v>984</v>
      </c>
      <c r="C15" s="15" t="s">
        <v>93</v>
      </c>
      <c r="D15" s="15" t="s">
        <v>94</v>
      </c>
      <c r="E15" s="15" t="s">
        <v>170</v>
      </c>
      <c r="F15" s="15" t="s">
        <v>91</v>
      </c>
      <c r="G15" s="21">
        <f>G16+G19</f>
        <v>1298.44</v>
      </c>
      <c r="H15" s="21">
        <f>H16+H19</f>
        <v>1297.06702</v>
      </c>
      <c r="I15" s="27">
        <f t="shared" si="0"/>
        <v>99.894259264964106</v>
      </c>
    </row>
    <row r="16" spans="1:9" ht="26.4">
      <c r="A16" s="58" t="s">
        <v>189</v>
      </c>
      <c r="B16" s="59">
        <v>984</v>
      </c>
      <c r="C16" s="15" t="s">
        <v>93</v>
      </c>
      <c r="D16" s="15" t="s">
        <v>94</v>
      </c>
      <c r="E16" s="15" t="s">
        <v>185</v>
      </c>
      <c r="F16" s="15" t="s">
        <v>91</v>
      </c>
      <c r="G16" s="21">
        <f>G17</f>
        <v>1272.4000000000001</v>
      </c>
      <c r="H16" s="21">
        <f>H17</f>
        <v>1271.02702</v>
      </c>
      <c r="I16" s="27">
        <f t="shared" si="0"/>
        <v>99.892095253065065</v>
      </c>
    </row>
    <row r="17" spans="1:9">
      <c r="A17" s="58" t="s">
        <v>115</v>
      </c>
      <c r="B17" s="59">
        <v>984</v>
      </c>
      <c r="C17" s="15" t="s">
        <v>93</v>
      </c>
      <c r="D17" s="15" t="s">
        <v>94</v>
      </c>
      <c r="E17" s="15" t="s">
        <v>132</v>
      </c>
      <c r="F17" s="15" t="s">
        <v>91</v>
      </c>
      <c r="G17" s="21">
        <f>G18</f>
        <v>1272.4000000000001</v>
      </c>
      <c r="H17" s="21">
        <f>H18</f>
        <v>1271.02702</v>
      </c>
      <c r="I17" s="27">
        <f t="shared" si="0"/>
        <v>99.892095253065065</v>
      </c>
    </row>
    <row r="18" spans="1:9" ht="39.6">
      <c r="A18" s="60" t="s">
        <v>172</v>
      </c>
      <c r="B18" s="59">
        <v>984</v>
      </c>
      <c r="C18" s="15" t="s">
        <v>93</v>
      </c>
      <c r="D18" s="15" t="s">
        <v>94</v>
      </c>
      <c r="E18" s="15" t="s">
        <v>132</v>
      </c>
      <c r="F18" s="15" t="s">
        <v>171</v>
      </c>
      <c r="G18" s="21">
        <f>918+7+3.3+28.2+280+30+8-0.5-1.6</f>
        <v>1272.4000000000001</v>
      </c>
      <c r="H18" s="21">
        <v>1271.02702</v>
      </c>
      <c r="I18" s="27">
        <f t="shared" si="0"/>
        <v>99.892095253065065</v>
      </c>
    </row>
    <row r="19" spans="1:9" ht="26.4">
      <c r="A19" s="50" t="s">
        <v>384</v>
      </c>
      <c r="B19" s="59">
        <v>984</v>
      </c>
      <c r="C19" s="15" t="s">
        <v>93</v>
      </c>
      <c r="D19" s="15" t="s">
        <v>94</v>
      </c>
      <c r="E19" s="15" t="s">
        <v>399</v>
      </c>
      <c r="F19" s="15" t="s">
        <v>91</v>
      </c>
      <c r="G19" s="21">
        <f>G20</f>
        <v>26.04</v>
      </c>
      <c r="H19" s="21">
        <f>H20</f>
        <v>26.04</v>
      </c>
      <c r="I19" s="27">
        <f t="shared" si="0"/>
        <v>100</v>
      </c>
    </row>
    <row r="20" spans="1:9" ht="39.6">
      <c r="A20" s="60" t="s">
        <v>172</v>
      </c>
      <c r="B20" s="59">
        <v>984</v>
      </c>
      <c r="C20" s="15" t="s">
        <v>93</v>
      </c>
      <c r="D20" s="15" t="s">
        <v>94</v>
      </c>
      <c r="E20" s="15" t="s">
        <v>399</v>
      </c>
      <c r="F20" s="15" t="s">
        <v>171</v>
      </c>
      <c r="G20" s="21">
        <v>26.04</v>
      </c>
      <c r="H20" s="21">
        <v>26.04</v>
      </c>
      <c r="I20" s="27">
        <f t="shared" si="0"/>
        <v>100</v>
      </c>
    </row>
    <row r="21" spans="1:9" ht="39.6">
      <c r="A21" s="58" t="s">
        <v>95</v>
      </c>
      <c r="B21" s="59">
        <v>984</v>
      </c>
      <c r="C21" s="15" t="s">
        <v>93</v>
      </c>
      <c r="D21" s="15" t="s">
        <v>96</v>
      </c>
      <c r="E21" s="15" t="s">
        <v>183</v>
      </c>
      <c r="F21" s="15" t="s">
        <v>91</v>
      </c>
      <c r="G21" s="21">
        <f>G23</f>
        <v>4583.9399999999996</v>
      </c>
      <c r="H21" s="21">
        <f>H23</f>
        <v>4363.4453800000001</v>
      </c>
      <c r="I21" s="27">
        <f t="shared" si="0"/>
        <v>95.189844980518956</v>
      </c>
    </row>
    <row r="22" spans="1:9">
      <c r="A22" s="58" t="s">
        <v>65</v>
      </c>
      <c r="B22" s="59">
        <v>984</v>
      </c>
      <c r="C22" s="15" t="s">
        <v>93</v>
      </c>
      <c r="D22" s="15" t="s">
        <v>96</v>
      </c>
      <c r="E22" s="15" t="s">
        <v>184</v>
      </c>
      <c r="F22" s="15" t="s">
        <v>91</v>
      </c>
      <c r="G22" s="21">
        <f>G23</f>
        <v>4583.9399999999996</v>
      </c>
      <c r="H22" s="21">
        <f>H23</f>
        <v>4363.4453800000001</v>
      </c>
      <c r="I22" s="27">
        <f t="shared" si="0"/>
        <v>95.189844980518956</v>
      </c>
    </row>
    <row r="23" spans="1:9">
      <c r="A23" s="58" t="s">
        <v>48</v>
      </c>
      <c r="B23" s="59">
        <v>984</v>
      </c>
      <c r="C23" s="15" t="s">
        <v>93</v>
      </c>
      <c r="D23" s="15" t="s">
        <v>96</v>
      </c>
      <c r="E23" s="15" t="s">
        <v>170</v>
      </c>
      <c r="F23" s="15" t="s">
        <v>91</v>
      </c>
      <c r="G23" s="21">
        <f>G25+G28</f>
        <v>4583.9399999999996</v>
      </c>
      <c r="H23" s="21">
        <f>H25+H28</f>
        <v>4363.4453800000001</v>
      </c>
      <c r="I23" s="27">
        <f t="shared" si="0"/>
        <v>95.189844980518956</v>
      </c>
    </row>
    <row r="24" spans="1:9" ht="26.4">
      <c r="A24" s="58" t="s">
        <v>189</v>
      </c>
      <c r="B24" s="59">
        <v>984</v>
      </c>
      <c r="C24" s="15" t="s">
        <v>93</v>
      </c>
      <c r="D24" s="15" t="s">
        <v>96</v>
      </c>
      <c r="E24" s="15" t="s">
        <v>185</v>
      </c>
      <c r="F24" s="15" t="s">
        <v>91</v>
      </c>
      <c r="G24" s="21">
        <f>G26+G27</f>
        <v>4557.8999999999996</v>
      </c>
      <c r="H24" s="21">
        <f>H26+H27</f>
        <v>4337.4053800000002</v>
      </c>
      <c r="I24" s="27">
        <f t="shared" si="0"/>
        <v>95.162363807893996</v>
      </c>
    </row>
    <row r="25" spans="1:9">
      <c r="A25" s="58" t="s">
        <v>75</v>
      </c>
      <c r="B25" s="59">
        <v>984</v>
      </c>
      <c r="C25" s="15" t="s">
        <v>93</v>
      </c>
      <c r="D25" s="15" t="s">
        <v>96</v>
      </c>
      <c r="E25" s="15" t="s">
        <v>133</v>
      </c>
      <c r="F25" s="15" t="s">
        <v>91</v>
      </c>
      <c r="G25" s="21">
        <f>G26+G27</f>
        <v>4557.8999999999996</v>
      </c>
      <c r="H25" s="21">
        <f>H26+H27</f>
        <v>4337.4053800000002</v>
      </c>
      <c r="I25" s="27">
        <f t="shared" si="0"/>
        <v>95.162363807893996</v>
      </c>
    </row>
    <row r="26" spans="1:9" ht="39.6">
      <c r="A26" s="60" t="s">
        <v>172</v>
      </c>
      <c r="B26" s="59">
        <v>984</v>
      </c>
      <c r="C26" s="15" t="s">
        <v>93</v>
      </c>
      <c r="D26" s="15" t="s">
        <v>96</v>
      </c>
      <c r="E26" s="15" t="s">
        <v>133</v>
      </c>
      <c r="F26" s="15" t="s">
        <v>171</v>
      </c>
      <c r="G26" s="21">
        <f>2601+21+0.144+3.556+792+30+510+150-15</f>
        <v>4092.7</v>
      </c>
      <c r="H26" s="21">
        <v>4003.0119599999998</v>
      </c>
      <c r="I26" s="27">
        <f t="shared" si="0"/>
        <v>97.808585041659541</v>
      </c>
    </row>
    <row r="27" spans="1:9">
      <c r="A27" s="25" t="s">
        <v>180</v>
      </c>
      <c r="B27" s="59">
        <v>984</v>
      </c>
      <c r="C27" s="15" t="s">
        <v>93</v>
      </c>
      <c r="D27" s="15" t="s">
        <v>96</v>
      </c>
      <c r="E27" s="15" t="s">
        <v>133</v>
      </c>
      <c r="F27" s="15" t="s">
        <v>173</v>
      </c>
      <c r="G27" s="21">
        <f>9+16.6+366.8424+72.7576</f>
        <v>465.20000000000005</v>
      </c>
      <c r="H27" s="21">
        <v>334.39341999999999</v>
      </c>
      <c r="I27" s="27">
        <f t="shared" si="0"/>
        <v>71.881646603611344</v>
      </c>
    </row>
    <row r="28" spans="1:9" ht="26.4">
      <c r="A28" s="50" t="s">
        <v>384</v>
      </c>
      <c r="B28" s="59">
        <v>984</v>
      </c>
      <c r="C28" s="15" t="s">
        <v>93</v>
      </c>
      <c r="D28" s="15" t="s">
        <v>96</v>
      </c>
      <c r="E28" s="15" t="s">
        <v>399</v>
      </c>
      <c r="F28" s="15" t="s">
        <v>91</v>
      </c>
      <c r="G28" s="21">
        <f>G29</f>
        <v>26.04</v>
      </c>
      <c r="H28" s="21">
        <f>H29</f>
        <v>26.04</v>
      </c>
      <c r="I28" s="27">
        <f t="shared" si="0"/>
        <v>100</v>
      </c>
    </row>
    <row r="29" spans="1:9" ht="39.6">
      <c r="A29" s="60" t="s">
        <v>172</v>
      </c>
      <c r="B29" s="59">
        <v>984</v>
      </c>
      <c r="C29" s="15" t="s">
        <v>93</v>
      </c>
      <c r="D29" s="15" t="s">
        <v>96</v>
      </c>
      <c r="E29" s="15" t="s">
        <v>399</v>
      </c>
      <c r="F29" s="15" t="s">
        <v>171</v>
      </c>
      <c r="G29" s="21">
        <v>26.04</v>
      </c>
      <c r="H29" s="21">
        <v>26.04</v>
      </c>
      <c r="I29" s="27">
        <f t="shared" si="0"/>
        <v>100</v>
      </c>
    </row>
    <row r="30" spans="1:9">
      <c r="A30" s="58" t="s">
        <v>46</v>
      </c>
      <c r="B30" s="59">
        <v>984</v>
      </c>
      <c r="C30" s="15" t="s">
        <v>93</v>
      </c>
      <c r="D30" s="15" t="s">
        <v>10</v>
      </c>
      <c r="E30" s="15" t="s">
        <v>183</v>
      </c>
      <c r="F30" s="15" t="s">
        <v>91</v>
      </c>
      <c r="G30" s="21">
        <f>G33</f>
        <v>10</v>
      </c>
      <c r="H30" s="21">
        <f>H33</f>
        <v>0</v>
      </c>
      <c r="I30" s="27">
        <f t="shared" si="0"/>
        <v>0</v>
      </c>
    </row>
    <row r="31" spans="1:9">
      <c r="A31" s="58" t="s">
        <v>65</v>
      </c>
      <c r="B31" s="59">
        <v>984</v>
      </c>
      <c r="C31" s="15" t="s">
        <v>93</v>
      </c>
      <c r="D31" s="15" t="s">
        <v>10</v>
      </c>
      <c r="E31" s="15" t="s">
        <v>184</v>
      </c>
      <c r="F31" s="15" t="s">
        <v>91</v>
      </c>
      <c r="G31" s="21">
        <f t="shared" ref="G31:H34" si="1">G32</f>
        <v>10</v>
      </c>
      <c r="H31" s="21">
        <f t="shared" si="1"/>
        <v>0</v>
      </c>
      <c r="I31" s="27">
        <f t="shared" si="0"/>
        <v>0</v>
      </c>
    </row>
    <row r="32" spans="1:9">
      <c r="A32" s="58" t="s">
        <v>48</v>
      </c>
      <c r="B32" s="59">
        <v>984</v>
      </c>
      <c r="C32" s="15" t="s">
        <v>93</v>
      </c>
      <c r="D32" s="15" t="s">
        <v>10</v>
      </c>
      <c r="E32" s="15" t="s">
        <v>170</v>
      </c>
      <c r="F32" s="15" t="s">
        <v>91</v>
      </c>
      <c r="G32" s="21">
        <f t="shared" si="1"/>
        <v>10</v>
      </c>
      <c r="H32" s="21">
        <f t="shared" si="1"/>
        <v>0</v>
      </c>
      <c r="I32" s="27">
        <f t="shared" si="0"/>
        <v>0</v>
      </c>
    </row>
    <row r="33" spans="1:9">
      <c r="A33" s="58" t="s">
        <v>46</v>
      </c>
      <c r="B33" s="59">
        <v>984</v>
      </c>
      <c r="C33" s="15" t="s">
        <v>93</v>
      </c>
      <c r="D33" s="15" t="s">
        <v>10</v>
      </c>
      <c r="E33" s="15" t="s">
        <v>134</v>
      </c>
      <c r="F33" s="15" t="s">
        <v>91</v>
      </c>
      <c r="G33" s="21">
        <f t="shared" si="1"/>
        <v>10</v>
      </c>
      <c r="H33" s="21">
        <f t="shared" si="1"/>
        <v>0</v>
      </c>
      <c r="I33" s="27">
        <f t="shared" si="0"/>
        <v>0</v>
      </c>
    </row>
    <row r="34" spans="1:9">
      <c r="A34" s="58" t="s">
        <v>47</v>
      </c>
      <c r="B34" s="59">
        <v>984</v>
      </c>
      <c r="C34" s="15" t="s">
        <v>93</v>
      </c>
      <c r="D34" s="15" t="s">
        <v>10</v>
      </c>
      <c r="E34" s="15" t="s">
        <v>135</v>
      </c>
      <c r="F34" s="15" t="s">
        <v>91</v>
      </c>
      <c r="G34" s="21">
        <f t="shared" si="1"/>
        <v>10</v>
      </c>
      <c r="H34" s="21">
        <f t="shared" si="1"/>
        <v>0</v>
      </c>
      <c r="I34" s="27">
        <f t="shared" si="0"/>
        <v>0</v>
      </c>
    </row>
    <row r="35" spans="1:9">
      <c r="A35" s="50" t="s">
        <v>181</v>
      </c>
      <c r="B35" s="59">
        <v>984</v>
      </c>
      <c r="C35" s="15" t="s">
        <v>93</v>
      </c>
      <c r="D35" s="15" t="s">
        <v>10</v>
      </c>
      <c r="E35" s="15" t="s">
        <v>135</v>
      </c>
      <c r="F35" s="15" t="s">
        <v>174</v>
      </c>
      <c r="G35" s="21">
        <v>10</v>
      </c>
      <c r="H35" s="21">
        <v>0</v>
      </c>
      <c r="I35" s="27">
        <f t="shared" si="0"/>
        <v>0</v>
      </c>
    </row>
    <row r="36" spans="1:9">
      <c r="A36" s="58" t="s">
        <v>97</v>
      </c>
      <c r="B36" s="59">
        <v>984</v>
      </c>
      <c r="C36" s="15" t="s">
        <v>93</v>
      </c>
      <c r="D36" s="15" t="s">
        <v>6</v>
      </c>
      <c r="E36" s="15" t="s">
        <v>183</v>
      </c>
      <c r="F36" s="15" t="s">
        <v>91</v>
      </c>
      <c r="G36" s="21">
        <f>G38</f>
        <v>1284.0999999999997</v>
      </c>
      <c r="H36" s="21">
        <f>H38</f>
        <v>1200.86572</v>
      </c>
      <c r="I36" s="27">
        <f t="shared" si="0"/>
        <v>93.518084261350381</v>
      </c>
    </row>
    <row r="37" spans="1:9">
      <c r="A37" s="58" t="s">
        <v>65</v>
      </c>
      <c r="B37" s="59">
        <v>984</v>
      </c>
      <c r="C37" s="15" t="s">
        <v>93</v>
      </c>
      <c r="D37" s="15" t="s">
        <v>6</v>
      </c>
      <c r="E37" s="15" t="s">
        <v>184</v>
      </c>
      <c r="F37" s="15" t="s">
        <v>91</v>
      </c>
      <c r="G37" s="21">
        <f>G38</f>
        <v>1284.0999999999997</v>
      </c>
      <c r="H37" s="21">
        <f>H38</f>
        <v>1200.86572</v>
      </c>
      <c r="I37" s="27">
        <f t="shared" si="0"/>
        <v>93.518084261350381</v>
      </c>
    </row>
    <row r="38" spans="1:9">
      <c r="A38" s="58" t="s">
        <v>48</v>
      </c>
      <c r="B38" s="59">
        <v>984</v>
      </c>
      <c r="C38" s="15" t="s">
        <v>93</v>
      </c>
      <c r="D38" s="15" t="s">
        <v>6</v>
      </c>
      <c r="E38" s="15" t="s">
        <v>170</v>
      </c>
      <c r="F38" s="15" t="s">
        <v>91</v>
      </c>
      <c r="G38" s="21">
        <f>G40+G44+G47+G50</f>
        <v>1284.0999999999997</v>
      </c>
      <c r="H38" s="21">
        <f>H40+H44+H47+H50</f>
        <v>1200.86572</v>
      </c>
      <c r="I38" s="27">
        <f t="shared" si="0"/>
        <v>93.518084261350381</v>
      </c>
    </row>
    <row r="39" spans="1:9" ht="26.4">
      <c r="A39" s="58" t="s">
        <v>189</v>
      </c>
      <c r="B39" s="59">
        <v>984</v>
      </c>
      <c r="C39" s="15" t="s">
        <v>93</v>
      </c>
      <c r="D39" s="15" t="s">
        <v>6</v>
      </c>
      <c r="E39" s="15" t="s">
        <v>185</v>
      </c>
      <c r="F39" s="15" t="s">
        <v>91</v>
      </c>
      <c r="G39" s="21">
        <f>G40</f>
        <v>1212.1999999999998</v>
      </c>
      <c r="H39" s="21">
        <f>H40</f>
        <v>1128.9657200000001</v>
      </c>
      <c r="I39" s="27">
        <f t="shared" si="0"/>
        <v>93.133618214816067</v>
      </c>
    </row>
    <row r="40" spans="1:9">
      <c r="A40" s="58" t="s">
        <v>75</v>
      </c>
      <c r="B40" s="59">
        <v>984</v>
      </c>
      <c r="C40" s="15" t="s">
        <v>93</v>
      </c>
      <c r="D40" s="15" t="s">
        <v>6</v>
      </c>
      <c r="E40" s="15" t="s">
        <v>133</v>
      </c>
      <c r="F40" s="15" t="s">
        <v>91</v>
      </c>
      <c r="G40" s="21">
        <f>G41+G42+G43</f>
        <v>1212.1999999999998</v>
      </c>
      <c r="H40" s="21">
        <f>H41+H42+H43</f>
        <v>1128.9657200000001</v>
      </c>
      <c r="I40" s="27">
        <f t="shared" si="0"/>
        <v>93.133618214816067</v>
      </c>
    </row>
    <row r="41" spans="1:9" ht="39.6">
      <c r="A41" s="60" t="s">
        <v>172</v>
      </c>
      <c r="B41" s="59">
        <v>984</v>
      </c>
      <c r="C41" s="15" t="s">
        <v>93</v>
      </c>
      <c r="D41" s="15" t="s">
        <v>6</v>
      </c>
      <c r="E41" s="15" t="s">
        <v>133</v>
      </c>
      <c r="F41" s="15" t="s">
        <v>171</v>
      </c>
      <c r="G41" s="21">
        <f>776+6.3+1+237-330-100</f>
        <v>590.29999999999995</v>
      </c>
      <c r="H41" s="21">
        <v>560.19447000000002</v>
      </c>
      <c r="I41" s="27">
        <f t="shared" si="0"/>
        <v>94.899961036760985</v>
      </c>
    </row>
    <row r="42" spans="1:9">
      <c r="A42" s="25" t="s">
        <v>180</v>
      </c>
      <c r="B42" s="59">
        <v>984</v>
      </c>
      <c r="C42" s="15" t="s">
        <v>93</v>
      </c>
      <c r="D42" s="15" t="s">
        <v>6</v>
      </c>
      <c r="E42" s="15" t="s">
        <v>133</v>
      </c>
      <c r="F42" s="15" t="s">
        <v>173</v>
      </c>
      <c r="G42" s="21">
        <f>167.4+322+262+100+17+58-30-200-17-60</f>
        <v>619.4</v>
      </c>
      <c r="H42" s="21">
        <v>568.77125000000001</v>
      </c>
      <c r="I42" s="27">
        <f t="shared" si="0"/>
        <v>91.82616241524056</v>
      </c>
    </row>
    <row r="43" spans="1:9">
      <c r="A43" s="50" t="s">
        <v>181</v>
      </c>
      <c r="B43" s="59">
        <v>984</v>
      </c>
      <c r="C43" s="15" t="s">
        <v>93</v>
      </c>
      <c r="D43" s="15" t="s">
        <v>6</v>
      </c>
      <c r="E43" s="15" t="s">
        <v>133</v>
      </c>
      <c r="F43" s="15" t="s">
        <v>174</v>
      </c>
      <c r="G43" s="21">
        <v>2.5</v>
      </c>
      <c r="H43" s="21">
        <v>0</v>
      </c>
      <c r="I43" s="27">
        <f t="shared" si="0"/>
        <v>0</v>
      </c>
    </row>
    <row r="44" spans="1:9" ht="26.4">
      <c r="A44" s="58" t="s">
        <v>116</v>
      </c>
      <c r="B44" s="59">
        <v>984</v>
      </c>
      <c r="C44" s="15" t="s">
        <v>93</v>
      </c>
      <c r="D44" s="15" t="s">
        <v>6</v>
      </c>
      <c r="E44" s="15" t="s">
        <v>136</v>
      </c>
      <c r="F44" s="15" t="s">
        <v>91</v>
      </c>
      <c r="G44" s="21">
        <f>G46</f>
        <v>60.7</v>
      </c>
      <c r="H44" s="21">
        <f>H46</f>
        <v>60.7</v>
      </c>
      <c r="I44" s="27">
        <f t="shared" si="0"/>
        <v>100</v>
      </c>
    </row>
    <row r="45" spans="1:9" ht="26.4">
      <c r="A45" s="61" t="s">
        <v>74</v>
      </c>
      <c r="B45" s="59">
        <v>984</v>
      </c>
      <c r="C45" s="15" t="s">
        <v>93</v>
      </c>
      <c r="D45" s="15" t="s">
        <v>6</v>
      </c>
      <c r="E45" s="15" t="s">
        <v>137</v>
      </c>
      <c r="F45" s="15" t="s">
        <v>91</v>
      </c>
      <c r="G45" s="21">
        <f>G46</f>
        <v>60.7</v>
      </c>
      <c r="H45" s="21">
        <f>H46</f>
        <v>60.7</v>
      </c>
      <c r="I45" s="27">
        <f t="shared" si="0"/>
        <v>100</v>
      </c>
    </row>
    <row r="46" spans="1:9">
      <c r="A46" s="50" t="s">
        <v>176</v>
      </c>
      <c r="B46" s="59">
        <v>984</v>
      </c>
      <c r="C46" s="15" t="s">
        <v>93</v>
      </c>
      <c r="D46" s="15" t="s">
        <v>6</v>
      </c>
      <c r="E46" s="15" t="s">
        <v>137</v>
      </c>
      <c r="F46" s="15" t="s">
        <v>175</v>
      </c>
      <c r="G46" s="21">
        <v>60.7</v>
      </c>
      <c r="H46" s="21">
        <v>60.7</v>
      </c>
      <c r="I46" s="27">
        <f t="shared" si="0"/>
        <v>100</v>
      </c>
    </row>
    <row r="47" spans="1:9" ht="26.4">
      <c r="A47" s="58" t="s">
        <v>390</v>
      </c>
      <c r="B47" s="59">
        <v>984</v>
      </c>
      <c r="C47" s="15" t="s">
        <v>93</v>
      </c>
      <c r="D47" s="15" t="s">
        <v>6</v>
      </c>
      <c r="E47" s="15" t="s">
        <v>400</v>
      </c>
      <c r="F47" s="15" t="s">
        <v>91</v>
      </c>
      <c r="G47" s="21">
        <f>G48</f>
        <v>9.9999999999999978E-2</v>
      </c>
      <c r="H47" s="21">
        <f>H48</f>
        <v>0.1</v>
      </c>
      <c r="I47" s="27">
        <f t="shared" si="0"/>
        <v>100.00000000000003</v>
      </c>
    </row>
    <row r="48" spans="1:9">
      <c r="A48" s="58" t="s">
        <v>401</v>
      </c>
      <c r="B48" s="59">
        <v>984</v>
      </c>
      <c r="C48" s="15" t="s">
        <v>93</v>
      </c>
      <c r="D48" s="15" t="s">
        <v>6</v>
      </c>
      <c r="E48" s="15" t="s">
        <v>402</v>
      </c>
      <c r="F48" s="15" t="s">
        <v>91</v>
      </c>
      <c r="G48" s="21">
        <f>G49</f>
        <v>9.9999999999999978E-2</v>
      </c>
      <c r="H48" s="21">
        <f>H49</f>
        <v>0.1</v>
      </c>
      <c r="I48" s="27">
        <f t="shared" si="0"/>
        <v>100.00000000000003</v>
      </c>
    </row>
    <row r="49" spans="1:9">
      <c r="A49" s="25" t="s">
        <v>180</v>
      </c>
      <c r="B49" s="59">
        <v>984</v>
      </c>
      <c r="C49" s="15" t="s">
        <v>93</v>
      </c>
      <c r="D49" s="15" t="s">
        <v>6</v>
      </c>
      <c r="E49" s="15" t="s">
        <v>402</v>
      </c>
      <c r="F49" s="15" t="s">
        <v>173</v>
      </c>
      <c r="G49" s="21">
        <f>0.6-0.5</f>
        <v>9.9999999999999978E-2</v>
      </c>
      <c r="H49" s="21">
        <v>0.1</v>
      </c>
      <c r="I49" s="27">
        <f t="shared" si="0"/>
        <v>100.00000000000003</v>
      </c>
    </row>
    <row r="50" spans="1:9">
      <c r="A50" s="61" t="s">
        <v>66</v>
      </c>
      <c r="B50" s="59">
        <v>984</v>
      </c>
      <c r="C50" s="15" t="s">
        <v>93</v>
      </c>
      <c r="D50" s="15" t="s">
        <v>6</v>
      </c>
      <c r="E50" s="15" t="s">
        <v>141</v>
      </c>
      <c r="F50" s="15" t="s">
        <v>91</v>
      </c>
      <c r="G50" s="21">
        <f>G51</f>
        <v>11.1</v>
      </c>
      <c r="H50" s="21">
        <f>H51</f>
        <v>11.1</v>
      </c>
      <c r="I50" s="27">
        <f t="shared" si="0"/>
        <v>100</v>
      </c>
    </row>
    <row r="51" spans="1:9">
      <c r="A51" s="58" t="s">
        <v>195</v>
      </c>
      <c r="B51" s="59">
        <v>984</v>
      </c>
      <c r="C51" s="15" t="s">
        <v>93</v>
      </c>
      <c r="D51" s="15" t="s">
        <v>6</v>
      </c>
      <c r="E51" s="15" t="s">
        <v>142</v>
      </c>
      <c r="F51" s="15" t="s">
        <v>91</v>
      </c>
      <c r="G51" s="21">
        <f>G52</f>
        <v>11.1</v>
      </c>
      <c r="H51" s="21">
        <f>H52</f>
        <v>11.1</v>
      </c>
      <c r="I51" s="27">
        <f t="shared" si="0"/>
        <v>100</v>
      </c>
    </row>
    <row r="52" spans="1:9">
      <c r="A52" s="50" t="s">
        <v>181</v>
      </c>
      <c r="B52" s="59">
        <v>984</v>
      </c>
      <c r="C52" s="15" t="s">
        <v>93</v>
      </c>
      <c r="D52" s="15" t="s">
        <v>6</v>
      </c>
      <c r="E52" s="15" t="s">
        <v>142</v>
      </c>
      <c r="F52" s="15" t="s">
        <v>174</v>
      </c>
      <c r="G52" s="21">
        <v>11.1</v>
      </c>
      <c r="H52" s="21">
        <v>11.1</v>
      </c>
      <c r="I52" s="27">
        <f t="shared" si="0"/>
        <v>100</v>
      </c>
    </row>
    <row r="53" spans="1:9">
      <c r="A53" s="58" t="s">
        <v>98</v>
      </c>
      <c r="B53" s="59">
        <v>984</v>
      </c>
      <c r="C53" s="15" t="s">
        <v>94</v>
      </c>
      <c r="D53" s="15" t="s">
        <v>90</v>
      </c>
      <c r="E53" s="15" t="s">
        <v>183</v>
      </c>
      <c r="F53" s="15" t="s">
        <v>91</v>
      </c>
      <c r="G53" s="21">
        <f>G54</f>
        <v>390.5</v>
      </c>
      <c r="H53" s="21">
        <f>H54</f>
        <v>390.5</v>
      </c>
      <c r="I53" s="27">
        <f t="shared" si="0"/>
        <v>100</v>
      </c>
    </row>
    <row r="54" spans="1:9">
      <c r="A54" s="58" t="s">
        <v>99</v>
      </c>
      <c r="B54" s="59">
        <v>984</v>
      </c>
      <c r="C54" s="15" t="s">
        <v>94</v>
      </c>
      <c r="D54" s="15" t="s">
        <v>100</v>
      </c>
      <c r="E54" s="15" t="s">
        <v>183</v>
      </c>
      <c r="F54" s="15" t="s">
        <v>91</v>
      </c>
      <c r="G54" s="21">
        <f>G56</f>
        <v>390.5</v>
      </c>
      <c r="H54" s="21">
        <f>H56</f>
        <v>390.5</v>
      </c>
      <c r="I54" s="27">
        <f t="shared" si="0"/>
        <v>100</v>
      </c>
    </row>
    <row r="55" spans="1:9">
      <c r="A55" s="58" t="s">
        <v>65</v>
      </c>
      <c r="B55" s="59">
        <v>984</v>
      </c>
      <c r="C55" s="15" t="s">
        <v>94</v>
      </c>
      <c r="D55" s="15" t="s">
        <v>100</v>
      </c>
      <c r="E55" s="15" t="s">
        <v>184</v>
      </c>
      <c r="F55" s="15" t="s">
        <v>91</v>
      </c>
      <c r="G55" s="21">
        <f>G56</f>
        <v>390.5</v>
      </c>
      <c r="H55" s="21">
        <f>H56</f>
        <v>390.5</v>
      </c>
      <c r="I55" s="27">
        <f t="shared" si="0"/>
        <v>100</v>
      </c>
    </row>
    <row r="56" spans="1:9">
      <c r="A56" s="58" t="s">
        <v>48</v>
      </c>
      <c r="B56" s="59">
        <v>984</v>
      </c>
      <c r="C56" s="15" t="s">
        <v>94</v>
      </c>
      <c r="D56" s="15" t="s">
        <v>100</v>
      </c>
      <c r="E56" s="15" t="s">
        <v>403</v>
      </c>
      <c r="F56" s="15" t="s">
        <v>91</v>
      </c>
      <c r="G56" s="21">
        <f>G57</f>
        <v>390.5</v>
      </c>
      <c r="H56" s="21">
        <f>H57</f>
        <v>390.5</v>
      </c>
      <c r="I56" s="27">
        <f t="shared" si="0"/>
        <v>100</v>
      </c>
    </row>
    <row r="57" spans="1:9" ht="39.6">
      <c r="A57" s="58" t="s">
        <v>404</v>
      </c>
      <c r="B57" s="59">
        <v>984</v>
      </c>
      <c r="C57" s="15" t="s">
        <v>94</v>
      </c>
      <c r="D57" s="15" t="s">
        <v>100</v>
      </c>
      <c r="E57" s="15" t="s">
        <v>405</v>
      </c>
      <c r="F57" s="15" t="s">
        <v>91</v>
      </c>
      <c r="G57" s="21">
        <f>G58+G59</f>
        <v>390.5</v>
      </c>
      <c r="H57" s="21">
        <f>H58+H59</f>
        <v>390.5</v>
      </c>
      <c r="I57" s="27">
        <f t="shared" si="0"/>
        <v>100</v>
      </c>
    </row>
    <row r="58" spans="1:9" ht="39.6">
      <c r="A58" s="60" t="s">
        <v>172</v>
      </c>
      <c r="B58" s="59">
        <v>984</v>
      </c>
      <c r="C58" s="15" t="s">
        <v>94</v>
      </c>
      <c r="D58" s="15" t="s">
        <v>100</v>
      </c>
      <c r="E58" s="15" t="s">
        <v>405</v>
      </c>
      <c r="F58" s="15" t="s">
        <v>171</v>
      </c>
      <c r="G58" s="21">
        <v>312.89512000000002</v>
      </c>
      <c r="H58" s="21">
        <v>312.89512000000002</v>
      </c>
      <c r="I58" s="27">
        <f t="shared" si="0"/>
        <v>100</v>
      </c>
    </row>
    <row r="59" spans="1:9">
      <c r="A59" s="25" t="s">
        <v>180</v>
      </c>
      <c r="B59" s="59">
        <v>984</v>
      </c>
      <c r="C59" s="15" t="s">
        <v>94</v>
      </c>
      <c r="D59" s="15" t="s">
        <v>100</v>
      </c>
      <c r="E59" s="15" t="s">
        <v>405</v>
      </c>
      <c r="F59" s="15" t="s">
        <v>173</v>
      </c>
      <c r="G59" s="21">
        <v>77.604879999999994</v>
      </c>
      <c r="H59" s="21">
        <v>77.604879999999994</v>
      </c>
      <c r="I59" s="27">
        <f t="shared" si="0"/>
        <v>100</v>
      </c>
    </row>
    <row r="60" spans="1:9">
      <c r="A60" s="58" t="s">
        <v>101</v>
      </c>
      <c r="B60" s="59">
        <v>984</v>
      </c>
      <c r="C60" s="15" t="s">
        <v>100</v>
      </c>
      <c r="D60" s="15" t="s">
        <v>90</v>
      </c>
      <c r="E60" s="15" t="s">
        <v>183</v>
      </c>
      <c r="F60" s="15" t="s">
        <v>91</v>
      </c>
      <c r="G60" s="21">
        <f>G61+G70</f>
        <v>74.8</v>
      </c>
      <c r="H60" s="21">
        <f>H61+H70</f>
        <v>28.400000000000002</v>
      </c>
      <c r="I60" s="27">
        <f t="shared" si="0"/>
        <v>37.967914438502675</v>
      </c>
    </row>
    <row r="61" spans="1:9" ht="26.4">
      <c r="A61" s="62" t="s">
        <v>221</v>
      </c>
      <c r="B61" s="59">
        <v>984</v>
      </c>
      <c r="C61" s="15" t="s">
        <v>100</v>
      </c>
      <c r="D61" s="15" t="s">
        <v>103</v>
      </c>
      <c r="E61" s="15" t="s">
        <v>183</v>
      </c>
      <c r="F61" s="15" t="s">
        <v>91</v>
      </c>
      <c r="G61" s="21">
        <f>G62</f>
        <v>69.8</v>
      </c>
      <c r="H61" s="21">
        <f>H62</f>
        <v>23.400000000000002</v>
      </c>
      <c r="I61" s="27">
        <f t="shared" si="0"/>
        <v>33.524355300859604</v>
      </c>
    </row>
    <row r="62" spans="1:9">
      <c r="A62" s="58" t="s">
        <v>65</v>
      </c>
      <c r="B62" s="59">
        <v>984</v>
      </c>
      <c r="C62" s="15" t="s">
        <v>100</v>
      </c>
      <c r="D62" s="15" t="s">
        <v>103</v>
      </c>
      <c r="E62" s="15" t="s">
        <v>184</v>
      </c>
      <c r="F62" s="15" t="s">
        <v>91</v>
      </c>
      <c r="G62" s="21">
        <f>G63</f>
        <v>69.8</v>
      </c>
      <c r="H62" s="21">
        <f>H63</f>
        <v>23.400000000000002</v>
      </c>
      <c r="I62" s="27">
        <f t="shared" si="0"/>
        <v>33.524355300859604</v>
      </c>
    </row>
    <row r="63" spans="1:9">
      <c r="A63" s="58" t="s">
        <v>109</v>
      </c>
      <c r="B63" s="59">
        <v>984</v>
      </c>
      <c r="C63" s="15" t="s">
        <v>100</v>
      </c>
      <c r="D63" s="15" t="s">
        <v>103</v>
      </c>
      <c r="E63" s="15" t="s">
        <v>156</v>
      </c>
      <c r="F63" s="15" t="s">
        <v>91</v>
      </c>
      <c r="G63" s="21">
        <f>G64+G67</f>
        <v>69.8</v>
      </c>
      <c r="H63" s="21">
        <f>H64+H67</f>
        <v>23.400000000000002</v>
      </c>
      <c r="I63" s="27">
        <f t="shared" si="0"/>
        <v>33.524355300859604</v>
      </c>
    </row>
    <row r="64" spans="1:9">
      <c r="A64" s="58" t="s">
        <v>67</v>
      </c>
      <c r="B64" s="59">
        <v>984</v>
      </c>
      <c r="C64" s="15" t="s">
        <v>100</v>
      </c>
      <c r="D64" s="15" t="s">
        <v>103</v>
      </c>
      <c r="E64" s="15" t="s">
        <v>157</v>
      </c>
      <c r="F64" s="15" t="s">
        <v>91</v>
      </c>
      <c r="G64" s="21">
        <f>G65</f>
        <v>50</v>
      </c>
      <c r="H64" s="21">
        <f>H65</f>
        <v>3.6</v>
      </c>
      <c r="I64" s="27">
        <f t="shared" si="0"/>
        <v>7.2000000000000011</v>
      </c>
    </row>
    <row r="65" spans="1:9">
      <c r="A65" s="25" t="s">
        <v>237</v>
      </c>
      <c r="B65" s="59">
        <v>984</v>
      </c>
      <c r="C65" s="15" t="s">
        <v>100</v>
      </c>
      <c r="D65" s="15" t="s">
        <v>103</v>
      </c>
      <c r="E65" s="15" t="s">
        <v>158</v>
      </c>
      <c r="F65" s="15" t="s">
        <v>91</v>
      </c>
      <c r="G65" s="21">
        <f>G66</f>
        <v>50</v>
      </c>
      <c r="H65" s="21">
        <f>H66</f>
        <v>3.6</v>
      </c>
      <c r="I65" s="27">
        <f t="shared" si="0"/>
        <v>7.2000000000000011</v>
      </c>
    </row>
    <row r="66" spans="1:9">
      <c r="A66" s="25" t="s">
        <v>180</v>
      </c>
      <c r="B66" s="59">
        <v>984</v>
      </c>
      <c r="C66" s="15" t="s">
        <v>100</v>
      </c>
      <c r="D66" s="15" t="s">
        <v>103</v>
      </c>
      <c r="E66" s="15" t="s">
        <v>158</v>
      </c>
      <c r="F66" s="15" t="s">
        <v>173</v>
      </c>
      <c r="G66" s="21">
        <v>50</v>
      </c>
      <c r="H66" s="21">
        <v>3.6</v>
      </c>
      <c r="I66" s="27">
        <f t="shared" si="0"/>
        <v>7.2000000000000011</v>
      </c>
    </row>
    <row r="67" spans="1:9" ht="26.4">
      <c r="A67" s="58" t="s">
        <v>391</v>
      </c>
      <c r="B67" s="59">
        <v>984</v>
      </c>
      <c r="C67" s="15" t="s">
        <v>100</v>
      </c>
      <c r="D67" s="15" t="s">
        <v>103</v>
      </c>
      <c r="E67" s="15" t="s">
        <v>159</v>
      </c>
      <c r="F67" s="15" t="s">
        <v>91</v>
      </c>
      <c r="G67" s="21">
        <f>G68</f>
        <v>19.8</v>
      </c>
      <c r="H67" s="21">
        <f>H68</f>
        <v>19.8</v>
      </c>
      <c r="I67" s="27">
        <f t="shared" si="0"/>
        <v>100</v>
      </c>
    </row>
    <row r="68" spans="1:9" ht="39.6">
      <c r="A68" s="63" t="s">
        <v>238</v>
      </c>
      <c r="B68" s="59">
        <v>984</v>
      </c>
      <c r="C68" s="15" t="s">
        <v>100</v>
      </c>
      <c r="D68" s="15" t="s">
        <v>103</v>
      </c>
      <c r="E68" s="15" t="s">
        <v>160</v>
      </c>
      <c r="F68" s="15" t="s">
        <v>91</v>
      </c>
      <c r="G68" s="21">
        <f>G69</f>
        <v>19.8</v>
      </c>
      <c r="H68" s="21">
        <v>19.8</v>
      </c>
      <c r="I68" s="27">
        <f t="shared" si="0"/>
        <v>100</v>
      </c>
    </row>
    <row r="69" spans="1:9">
      <c r="A69" s="50" t="s">
        <v>176</v>
      </c>
      <c r="B69" s="59">
        <v>984</v>
      </c>
      <c r="C69" s="15" t="s">
        <v>100</v>
      </c>
      <c r="D69" s="15" t="s">
        <v>103</v>
      </c>
      <c r="E69" s="15" t="s">
        <v>160</v>
      </c>
      <c r="F69" s="15" t="s">
        <v>175</v>
      </c>
      <c r="G69" s="21">
        <v>19.8</v>
      </c>
      <c r="H69" s="21">
        <f>H70</f>
        <v>5</v>
      </c>
      <c r="I69" s="27">
        <f t="shared" si="0"/>
        <v>25.252525252525253</v>
      </c>
    </row>
    <row r="70" spans="1:9">
      <c r="A70" s="58" t="s">
        <v>406</v>
      </c>
      <c r="B70" s="59">
        <v>984</v>
      </c>
      <c r="C70" s="15" t="s">
        <v>100</v>
      </c>
      <c r="D70" s="15" t="s">
        <v>122</v>
      </c>
      <c r="E70" s="15" t="s">
        <v>183</v>
      </c>
      <c r="F70" s="15" t="s">
        <v>91</v>
      </c>
      <c r="G70" s="21">
        <f>G72</f>
        <v>5</v>
      </c>
      <c r="H70" s="21">
        <f>H72</f>
        <v>5</v>
      </c>
      <c r="I70" s="27">
        <f t="shared" si="0"/>
        <v>100</v>
      </c>
    </row>
    <row r="71" spans="1:9">
      <c r="A71" s="58" t="s">
        <v>65</v>
      </c>
      <c r="B71" s="59">
        <v>984</v>
      </c>
      <c r="C71" s="15" t="s">
        <v>100</v>
      </c>
      <c r="D71" s="15" t="s">
        <v>122</v>
      </c>
      <c r="E71" s="15" t="s">
        <v>184</v>
      </c>
      <c r="F71" s="15" t="s">
        <v>91</v>
      </c>
      <c r="G71" s="21">
        <v>5</v>
      </c>
      <c r="H71" s="21">
        <v>6</v>
      </c>
      <c r="I71" s="27">
        <f t="shared" si="0"/>
        <v>120</v>
      </c>
    </row>
    <row r="72" spans="1:9">
      <c r="A72" s="61" t="s">
        <v>109</v>
      </c>
      <c r="B72" s="59">
        <v>984</v>
      </c>
      <c r="C72" s="15" t="s">
        <v>100</v>
      </c>
      <c r="D72" s="15" t="s">
        <v>122</v>
      </c>
      <c r="E72" s="15" t="s">
        <v>156</v>
      </c>
      <c r="F72" s="15" t="s">
        <v>91</v>
      </c>
      <c r="G72" s="21">
        <f t="shared" ref="G72:H74" si="2">G73</f>
        <v>5</v>
      </c>
      <c r="H72" s="21">
        <f t="shared" si="2"/>
        <v>5</v>
      </c>
      <c r="I72" s="27">
        <f t="shared" si="0"/>
        <v>100</v>
      </c>
    </row>
    <row r="73" spans="1:9" ht="26.4">
      <c r="A73" s="58" t="s">
        <v>116</v>
      </c>
      <c r="B73" s="59">
        <v>984</v>
      </c>
      <c r="C73" s="15" t="s">
        <v>100</v>
      </c>
      <c r="D73" s="15" t="s">
        <v>122</v>
      </c>
      <c r="E73" s="15" t="s">
        <v>159</v>
      </c>
      <c r="F73" s="15" t="s">
        <v>91</v>
      </c>
      <c r="G73" s="21">
        <f t="shared" si="2"/>
        <v>5</v>
      </c>
      <c r="H73" s="21">
        <f t="shared" si="2"/>
        <v>5</v>
      </c>
      <c r="I73" s="27">
        <f t="shared" si="0"/>
        <v>100</v>
      </c>
    </row>
    <row r="74" spans="1:9" ht="26.4">
      <c r="A74" s="58" t="s">
        <v>407</v>
      </c>
      <c r="B74" s="59">
        <v>984</v>
      </c>
      <c r="C74" s="15" t="s">
        <v>100</v>
      </c>
      <c r="D74" s="15" t="s">
        <v>122</v>
      </c>
      <c r="E74" s="15" t="s">
        <v>161</v>
      </c>
      <c r="F74" s="15" t="s">
        <v>91</v>
      </c>
      <c r="G74" s="21">
        <f t="shared" si="2"/>
        <v>5</v>
      </c>
      <c r="H74" s="21">
        <f t="shared" si="2"/>
        <v>5</v>
      </c>
      <c r="I74" s="27">
        <f t="shared" si="0"/>
        <v>100</v>
      </c>
    </row>
    <row r="75" spans="1:9">
      <c r="A75" s="50" t="s">
        <v>176</v>
      </c>
      <c r="B75" s="59">
        <v>984</v>
      </c>
      <c r="C75" s="15" t="s">
        <v>100</v>
      </c>
      <c r="D75" s="15" t="s">
        <v>122</v>
      </c>
      <c r="E75" s="15" t="s">
        <v>161</v>
      </c>
      <c r="F75" s="15" t="s">
        <v>175</v>
      </c>
      <c r="G75" s="21">
        <v>5</v>
      </c>
      <c r="H75" s="21">
        <v>5</v>
      </c>
      <c r="I75" s="27">
        <f t="shared" si="0"/>
        <v>100</v>
      </c>
    </row>
    <row r="76" spans="1:9">
      <c r="A76" s="58" t="s">
        <v>8</v>
      </c>
      <c r="B76" s="59">
        <v>984</v>
      </c>
      <c r="C76" s="15" t="s">
        <v>96</v>
      </c>
      <c r="D76" s="15" t="s">
        <v>90</v>
      </c>
      <c r="E76" s="15" t="s">
        <v>183</v>
      </c>
      <c r="F76" s="15" t="s">
        <v>91</v>
      </c>
      <c r="G76" s="21">
        <f>G77+G91</f>
        <v>7203.6210000000001</v>
      </c>
      <c r="H76" s="21">
        <f>H77+H91</f>
        <v>6386.0025999999989</v>
      </c>
      <c r="I76" s="27">
        <f t="shared" si="0"/>
        <v>88.649897044833409</v>
      </c>
    </row>
    <row r="77" spans="1:9">
      <c r="A77" s="58" t="s">
        <v>50</v>
      </c>
      <c r="B77" s="59">
        <v>984</v>
      </c>
      <c r="C77" s="15" t="s">
        <v>96</v>
      </c>
      <c r="D77" s="15" t="s">
        <v>102</v>
      </c>
      <c r="E77" s="15" t="s">
        <v>183</v>
      </c>
      <c r="F77" s="15" t="s">
        <v>91</v>
      </c>
      <c r="G77" s="21">
        <f>G78</f>
        <v>7173.0209999999997</v>
      </c>
      <c r="H77" s="21">
        <f>H78</f>
        <v>6356.0125999999991</v>
      </c>
      <c r="I77" s="27">
        <f t="shared" ref="I77:I140" si="3">H77/G77*100</f>
        <v>88.609981763611174</v>
      </c>
    </row>
    <row r="78" spans="1:9">
      <c r="A78" s="58" t="s">
        <v>65</v>
      </c>
      <c r="B78" s="59">
        <v>984</v>
      </c>
      <c r="C78" s="15" t="s">
        <v>96</v>
      </c>
      <c r="D78" s="15" t="s">
        <v>102</v>
      </c>
      <c r="E78" s="15" t="s">
        <v>184</v>
      </c>
      <c r="F78" s="15" t="s">
        <v>91</v>
      </c>
      <c r="G78" s="21">
        <f>G79</f>
        <v>7173.0209999999997</v>
      </c>
      <c r="H78" s="21">
        <f>H79</f>
        <v>6356.0125999999991</v>
      </c>
      <c r="I78" s="27">
        <f t="shared" si="3"/>
        <v>88.609981763611174</v>
      </c>
    </row>
    <row r="79" spans="1:9" ht="26.4">
      <c r="A79" s="58" t="s">
        <v>114</v>
      </c>
      <c r="B79" s="59">
        <v>984</v>
      </c>
      <c r="C79" s="15" t="s">
        <v>96</v>
      </c>
      <c r="D79" s="15" t="s">
        <v>102</v>
      </c>
      <c r="E79" s="15" t="s">
        <v>148</v>
      </c>
      <c r="F79" s="15" t="s">
        <v>91</v>
      </c>
      <c r="G79" s="21">
        <f>G80+G85+G83+G87+G89</f>
        <v>7173.0209999999997</v>
      </c>
      <c r="H79" s="21">
        <f>H80+H85+H83+H87+H89</f>
        <v>6356.0125999999991</v>
      </c>
      <c r="I79" s="27">
        <f t="shared" si="3"/>
        <v>88.609981763611174</v>
      </c>
    </row>
    <row r="80" spans="1:9">
      <c r="A80" s="58" t="s">
        <v>67</v>
      </c>
      <c r="B80" s="59">
        <v>984</v>
      </c>
      <c r="C80" s="15" t="s">
        <v>96</v>
      </c>
      <c r="D80" s="15" t="s">
        <v>102</v>
      </c>
      <c r="E80" s="15" t="s">
        <v>149</v>
      </c>
      <c r="F80" s="15" t="s">
        <v>91</v>
      </c>
      <c r="G80" s="21">
        <f>G81</f>
        <v>1164.461</v>
      </c>
      <c r="H80" s="21">
        <f>H81</f>
        <v>347.59897999999998</v>
      </c>
      <c r="I80" s="27">
        <f t="shared" si="3"/>
        <v>29.850633039663844</v>
      </c>
    </row>
    <row r="81" spans="1:9">
      <c r="A81" s="58" t="s">
        <v>69</v>
      </c>
      <c r="B81" s="59">
        <v>984</v>
      </c>
      <c r="C81" s="15" t="s">
        <v>96</v>
      </c>
      <c r="D81" s="15" t="s">
        <v>102</v>
      </c>
      <c r="E81" s="15" t="s">
        <v>150</v>
      </c>
      <c r="F81" s="15" t="s">
        <v>91</v>
      </c>
      <c r="G81" s="21">
        <f>G82</f>
        <v>1164.461</v>
      </c>
      <c r="H81" s="21">
        <f>H82</f>
        <v>347.59897999999998</v>
      </c>
      <c r="I81" s="27">
        <f t="shared" si="3"/>
        <v>29.850633039663844</v>
      </c>
    </row>
    <row r="82" spans="1:9">
      <c r="A82" s="25" t="s">
        <v>180</v>
      </c>
      <c r="B82" s="59">
        <v>984</v>
      </c>
      <c r="C82" s="15" t="s">
        <v>96</v>
      </c>
      <c r="D82" s="15" t="s">
        <v>102</v>
      </c>
      <c r="E82" s="15" t="s">
        <v>150</v>
      </c>
      <c r="F82" s="15" t="s">
        <v>173</v>
      </c>
      <c r="G82" s="21">
        <f>1129.421+35+0.04</f>
        <v>1164.461</v>
      </c>
      <c r="H82" s="21">
        <v>347.59897999999998</v>
      </c>
      <c r="I82" s="27">
        <f t="shared" si="3"/>
        <v>29.850633039663844</v>
      </c>
    </row>
    <row r="83" spans="1:9" ht="39.6">
      <c r="A83" s="50" t="s">
        <v>387</v>
      </c>
      <c r="B83" s="59">
        <v>984</v>
      </c>
      <c r="C83" s="15" t="s">
        <v>96</v>
      </c>
      <c r="D83" s="15" t="s">
        <v>102</v>
      </c>
      <c r="E83" s="15" t="s">
        <v>408</v>
      </c>
      <c r="F83" s="15" t="s">
        <v>91</v>
      </c>
      <c r="G83" s="21">
        <f>G84</f>
        <v>4151</v>
      </c>
      <c r="H83" s="21">
        <f>H84</f>
        <v>4151</v>
      </c>
      <c r="I83" s="27">
        <f t="shared" si="3"/>
        <v>100</v>
      </c>
    </row>
    <row r="84" spans="1:9">
      <c r="A84" s="25" t="s">
        <v>180</v>
      </c>
      <c r="B84" s="59">
        <v>984</v>
      </c>
      <c r="C84" s="15" t="s">
        <v>96</v>
      </c>
      <c r="D84" s="15" t="s">
        <v>102</v>
      </c>
      <c r="E84" s="15" t="s">
        <v>408</v>
      </c>
      <c r="F84" s="15" t="s">
        <v>173</v>
      </c>
      <c r="G84" s="21">
        <v>4151</v>
      </c>
      <c r="H84" s="21">
        <v>4151</v>
      </c>
      <c r="I84" s="27">
        <f t="shared" si="3"/>
        <v>100</v>
      </c>
    </row>
    <row r="85" spans="1:9" ht="52.8">
      <c r="A85" s="50" t="s">
        <v>409</v>
      </c>
      <c r="B85" s="59">
        <v>984</v>
      </c>
      <c r="C85" s="15" t="s">
        <v>96</v>
      </c>
      <c r="D85" s="15" t="s">
        <v>102</v>
      </c>
      <c r="E85" s="15" t="s">
        <v>410</v>
      </c>
      <c r="F85" s="15" t="s">
        <v>91</v>
      </c>
      <c r="G85" s="21">
        <f>G86</f>
        <v>4.16</v>
      </c>
      <c r="H85" s="21">
        <f>H86</f>
        <v>4.1559999999999997</v>
      </c>
      <c r="I85" s="27">
        <f t="shared" si="3"/>
        <v>99.903846153846146</v>
      </c>
    </row>
    <row r="86" spans="1:9">
      <c r="A86" s="25" t="s">
        <v>180</v>
      </c>
      <c r="B86" s="59">
        <v>984</v>
      </c>
      <c r="C86" s="15" t="s">
        <v>96</v>
      </c>
      <c r="D86" s="15" t="s">
        <v>102</v>
      </c>
      <c r="E86" s="15" t="s">
        <v>410</v>
      </c>
      <c r="F86" s="15" t="s">
        <v>173</v>
      </c>
      <c r="G86" s="21">
        <f>4.2-0.04</f>
        <v>4.16</v>
      </c>
      <c r="H86" s="21">
        <v>4.1559999999999997</v>
      </c>
      <c r="I86" s="27">
        <f t="shared" si="3"/>
        <v>99.903846153846146</v>
      </c>
    </row>
    <row r="87" spans="1:9" ht="26.4">
      <c r="A87" s="64" t="s">
        <v>386</v>
      </c>
      <c r="B87" s="59">
        <v>984</v>
      </c>
      <c r="C87" s="15" t="s">
        <v>96</v>
      </c>
      <c r="D87" s="15" t="s">
        <v>102</v>
      </c>
      <c r="E87" s="15" t="s">
        <v>411</v>
      </c>
      <c r="F87" s="15" t="s">
        <v>91</v>
      </c>
      <c r="G87" s="21">
        <f>G88</f>
        <v>1834.7</v>
      </c>
      <c r="H87" s="21">
        <f>H88</f>
        <v>1834.6510000000001</v>
      </c>
      <c r="I87" s="27">
        <f t="shared" si="3"/>
        <v>99.997329263639827</v>
      </c>
    </row>
    <row r="88" spans="1:9">
      <c r="A88" s="25" t="s">
        <v>180</v>
      </c>
      <c r="B88" s="59">
        <v>984</v>
      </c>
      <c r="C88" s="15" t="s">
        <v>96</v>
      </c>
      <c r="D88" s="15" t="s">
        <v>102</v>
      </c>
      <c r="E88" s="15" t="s">
        <v>411</v>
      </c>
      <c r="F88" s="15" t="s">
        <v>173</v>
      </c>
      <c r="G88" s="21">
        <f>1843.9-9.2</f>
        <v>1834.7</v>
      </c>
      <c r="H88" s="21">
        <v>1834.6510000000001</v>
      </c>
      <c r="I88" s="27">
        <f t="shared" si="3"/>
        <v>99.997329263639827</v>
      </c>
    </row>
    <row r="89" spans="1:9" ht="26.4">
      <c r="A89" s="64" t="s">
        <v>412</v>
      </c>
      <c r="B89" s="59">
        <v>984</v>
      </c>
      <c r="C89" s="15" t="s">
        <v>96</v>
      </c>
      <c r="D89" s="15" t="s">
        <v>102</v>
      </c>
      <c r="E89" s="15" t="s">
        <v>413</v>
      </c>
      <c r="F89" s="15" t="s">
        <v>91</v>
      </c>
      <c r="G89" s="21">
        <f>G90</f>
        <v>18.7</v>
      </c>
      <c r="H89" s="21">
        <f>H90</f>
        <v>18.606619999999999</v>
      </c>
      <c r="I89" s="27">
        <f t="shared" si="3"/>
        <v>99.500641711229946</v>
      </c>
    </row>
    <row r="90" spans="1:9">
      <c r="A90" s="25" t="s">
        <v>180</v>
      </c>
      <c r="B90" s="59">
        <v>984</v>
      </c>
      <c r="C90" s="15" t="s">
        <v>96</v>
      </c>
      <c r="D90" s="15" t="s">
        <v>102</v>
      </c>
      <c r="E90" s="15" t="s">
        <v>413</v>
      </c>
      <c r="F90" s="15" t="s">
        <v>173</v>
      </c>
      <c r="G90" s="21">
        <f>18.7</f>
        <v>18.7</v>
      </c>
      <c r="H90" s="21">
        <v>18.606619999999999</v>
      </c>
      <c r="I90" s="27">
        <f t="shared" si="3"/>
        <v>99.500641711229946</v>
      </c>
    </row>
    <row r="91" spans="1:9">
      <c r="A91" s="58" t="s">
        <v>7</v>
      </c>
      <c r="B91" s="59">
        <v>984</v>
      </c>
      <c r="C91" s="15" t="s">
        <v>96</v>
      </c>
      <c r="D91" s="15" t="s">
        <v>9</v>
      </c>
      <c r="E91" s="15" t="s">
        <v>183</v>
      </c>
      <c r="F91" s="15" t="s">
        <v>91</v>
      </c>
      <c r="G91" s="21">
        <f>G92</f>
        <v>30.6</v>
      </c>
      <c r="H91" s="21">
        <f>H92</f>
        <v>29.990000000000002</v>
      </c>
      <c r="I91" s="27">
        <f t="shared" si="3"/>
        <v>98.006535947712422</v>
      </c>
    </row>
    <row r="92" spans="1:9">
      <c r="A92" s="58" t="s">
        <v>65</v>
      </c>
      <c r="B92" s="59">
        <v>984</v>
      </c>
      <c r="C92" s="15" t="s">
        <v>96</v>
      </c>
      <c r="D92" s="15" t="s">
        <v>9</v>
      </c>
      <c r="E92" s="15" t="s">
        <v>184</v>
      </c>
      <c r="F92" s="15" t="s">
        <v>91</v>
      </c>
      <c r="G92" s="21">
        <f>G93+G99</f>
        <v>30.6</v>
      </c>
      <c r="H92" s="21">
        <f>H93+H99</f>
        <v>29.990000000000002</v>
      </c>
      <c r="I92" s="27">
        <f t="shared" si="3"/>
        <v>98.006535947712422</v>
      </c>
    </row>
    <row r="93" spans="1:9">
      <c r="A93" s="58" t="s">
        <v>48</v>
      </c>
      <c r="B93" s="59">
        <v>984</v>
      </c>
      <c r="C93" s="15" t="s">
        <v>96</v>
      </c>
      <c r="D93" s="15" t="s">
        <v>9</v>
      </c>
      <c r="E93" s="15" t="s">
        <v>170</v>
      </c>
      <c r="F93" s="15" t="s">
        <v>91</v>
      </c>
      <c r="G93" s="21">
        <f>G94</f>
        <v>29.6</v>
      </c>
      <c r="H93" s="21">
        <f>H94</f>
        <v>29.6</v>
      </c>
      <c r="I93" s="27">
        <f t="shared" si="3"/>
        <v>100</v>
      </c>
    </row>
    <row r="94" spans="1:9" ht="26.4">
      <c r="A94" s="58" t="s">
        <v>116</v>
      </c>
      <c r="B94" s="59">
        <v>984</v>
      </c>
      <c r="C94" s="15" t="s">
        <v>96</v>
      </c>
      <c r="D94" s="15" t="s">
        <v>9</v>
      </c>
      <c r="E94" s="15" t="s">
        <v>136</v>
      </c>
      <c r="F94" s="15" t="s">
        <v>91</v>
      </c>
      <c r="G94" s="21">
        <f>G95+G97</f>
        <v>29.6</v>
      </c>
      <c r="H94" s="21">
        <f>H95+H97</f>
        <v>29.6</v>
      </c>
      <c r="I94" s="27">
        <f t="shared" si="3"/>
        <v>100</v>
      </c>
    </row>
    <row r="95" spans="1:9" ht="26.4">
      <c r="A95" s="61" t="s">
        <v>138</v>
      </c>
      <c r="B95" s="59">
        <v>984</v>
      </c>
      <c r="C95" s="15" t="s">
        <v>96</v>
      </c>
      <c r="D95" s="15" t="s">
        <v>9</v>
      </c>
      <c r="E95" s="15" t="s">
        <v>139</v>
      </c>
      <c r="F95" s="15" t="s">
        <v>91</v>
      </c>
      <c r="G95" s="21">
        <f>G96</f>
        <v>15</v>
      </c>
      <c r="H95" s="21">
        <f>H96</f>
        <v>15</v>
      </c>
      <c r="I95" s="27">
        <f t="shared" si="3"/>
        <v>100</v>
      </c>
    </row>
    <row r="96" spans="1:9">
      <c r="A96" s="50" t="s">
        <v>176</v>
      </c>
      <c r="B96" s="59">
        <v>984</v>
      </c>
      <c r="C96" s="15" t="s">
        <v>96</v>
      </c>
      <c r="D96" s="15" t="s">
        <v>9</v>
      </c>
      <c r="E96" s="15" t="s">
        <v>139</v>
      </c>
      <c r="F96" s="15" t="s">
        <v>175</v>
      </c>
      <c r="G96" s="21">
        <v>15</v>
      </c>
      <c r="H96" s="21">
        <v>15</v>
      </c>
      <c r="I96" s="27">
        <f t="shared" si="3"/>
        <v>100</v>
      </c>
    </row>
    <row r="97" spans="1:9" ht="184.8">
      <c r="A97" s="65" t="s">
        <v>414</v>
      </c>
      <c r="B97" s="59">
        <v>984</v>
      </c>
      <c r="C97" s="15" t="s">
        <v>96</v>
      </c>
      <c r="D97" s="15" t="s">
        <v>9</v>
      </c>
      <c r="E97" s="15" t="s">
        <v>140</v>
      </c>
      <c r="F97" s="15" t="s">
        <v>91</v>
      </c>
      <c r="G97" s="21">
        <f>G98</f>
        <v>14.6</v>
      </c>
      <c r="H97" s="21">
        <f>H98</f>
        <v>14.6</v>
      </c>
      <c r="I97" s="27">
        <f t="shared" si="3"/>
        <v>100</v>
      </c>
    </row>
    <row r="98" spans="1:9">
      <c r="A98" s="50" t="s">
        <v>176</v>
      </c>
      <c r="B98" s="59">
        <v>984</v>
      </c>
      <c r="C98" s="15" t="s">
        <v>96</v>
      </c>
      <c r="D98" s="15" t="s">
        <v>9</v>
      </c>
      <c r="E98" s="15" t="s">
        <v>140</v>
      </c>
      <c r="F98" s="15" t="s">
        <v>175</v>
      </c>
      <c r="G98" s="21">
        <v>14.6</v>
      </c>
      <c r="H98" s="21">
        <v>14.6</v>
      </c>
      <c r="I98" s="27">
        <f t="shared" si="3"/>
        <v>100</v>
      </c>
    </row>
    <row r="99" spans="1:9">
      <c r="A99" s="58" t="s">
        <v>107</v>
      </c>
      <c r="B99" s="59">
        <v>984</v>
      </c>
      <c r="C99" s="15" t="s">
        <v>96</v>
      </c>
      <c r="D99" s="15" t="s">
        <v>9</v>
      </c>
      <c r="E99" s="15" t="s">
        <v>145</v>
      </c>
      <c r="F99" s="15" t="s">
        <v>91</v>
      </c>
      <c r="G99" s="21">
        <f t="shared" ref="G99:H101" si="4">G100</f>
        <v>1</v>
      </c>
      <c r="H99" s="21">
        <f t="shared" si="4"/>
        <v>0.39</v>
      </c>
      <c r="I99" s="27">
        <f t="shared" si="3"/>
        <v>39</v>
      </c>
    </row>
    <row r="100" spans="1:9">
      <c r="A100" s="58" t="s">
        <v>67</v>
      </c>
      <c r="B100" s="59">
        <v>984</v>
      </c>
      <c r="C100" s="15" t="s">
        <v>96</v>
      </c>
      <c r="D100" s="15" t="s">
        <v>9</v>
      </c>
      <c r="E100" s="15" t="s">
        <v>146</v>
      </c>
      <c r="F100" s="15" t="s">
        <v>91</v>
      </c>
      <c r="G100" s="21">
        <f t="shared" si="4"/>
        <v>1</v>
      </c>
      <c r="H100" s="21">
        <f t="shared" si="4"/>
        <v>0.39</v>
      </c>
      <c r="I100" s="27">
        <f t="shared" si="3"/>
        <v>39</v>
      </c>
    </row>
    <row r="101" spans="1:9">
      <c r="A101" s="58" t="s">
        <v>68</v>
      </c>
      <c r="B101" s="59">
        <v>984</v>
      </c>
      <c r="C101" s="15" t="s">
        <v>96</v>
      </c>
      <c r="D101" s="15" t="s">
        <v>9</v>
      </c>
      <c r="E101" s="15" t="s">
        <v>147</v>
      </c>
      <c r="F101" s="15" t="s">
        <v>91</v>
      </c>
      <c r="G101" s="21">
        <f t="shared" si="4"/>
        <v>1</v>
      </c>
      <c r="H101" s="21">
        <f t="shared" si="4"/>
        <v>0.39</v>
      </c>
      <c r="I101" s="27">
        <f t="shared" si="3"/>
        <v>39</v>
      </c>
    </row>
    <row r="102" spans="1:9">
      <c r="A102" s="25" t="s">
        <v>180</v>
      </c>
      <c r="B102" s="59">
        <v>984</v>
      </c>
      <c r="C102" s="15" t="s">
        <v>96</v>
      </c>
      <c r="D102" s="15" t="s">
        <v>9</v>
      </c>
      <c r="E102" s="15" t="s">
        <v>147</v>
      </c>
      <c r="F102" s="15" t="s">
        <v>173</v>
      </c>
      <c r="G102" s="21">
        <v>1</v>
      </c>
      <c r="H102" s="21">
        <v>0.39</v>
      </c>
      <c r="I102" s="27">
        <f t="shared" si="3"/>
        <v>39</v>
      </c>
    </row>
    <row r="103" spans="1:9">
      <c r="A103" s="58" t="s">
        <v>104</v>
      </c>
      <c r="B103" s="59">
        <v>984</v>
      </c>
      <c r="C103" s="15" t="s">
        <v>105</v>
      </c>
      <c r="D103" s="15" t="s">
        <v>90</v>
      </c>
      <c r="E103" s="15" t="s">
        <v>183</v>
      </c>
      <c r="F103" s="15" t="s">
        <v>91</v>
      </c>
      <c r="G103" s="21">
        <f>G106+G104+G108</f>
        <v>9994.4079999999994</v>
      </c>
      <c r="H103" s="21">
        <f>H106+H104+H108</f>
        <v>8716.5534699999989</v>
      </c>
      <c r="I103" s="27">
        <f t="shared" si="3"/>
        <v>87.214304939322062</v>
      </c>
    </row>
    <row r="104" spans="1:9" ht="26.4">
      <c r="A104" s="62" t="s">
        <v>242</v>
      </c>
      <c r="B104" s="59">
        <v>984</v>
      </c>
      <c r="C104" s="15" t="s">
        <v>105</v>
      </c>
      <c r="D104" s="15" t="s">
        <v>94</v>
      </c>
      <c r="E104" s="15" t="s">
        <v>415</v>
      </c>
      <c r="F104" s="15" t="s">
        <v>91</v>
      </c>
      <c r="G104" s="21">
        <f>G105</f>
        <v>4043</v>
      </c>
      <c r="H104" s="21">
        <f>H105</f>
        <v>3500.3962099999999</v>
      </c>
      <c r="I104" s="27">
        <f t="shared" si="3"/>
        <v>86.579179074944349</v>
      </c>
    </row>
    <row r="105" spans="1:9">
      <c r="A105" s="25" t="s">
        <v>180</v>
      </c>
      <c r="B105" s="59">
        <v>984</v>
      </c>
      <c r="C105" s="15" t="s">
        <v>105</v>
      </c>
      <c r="D105" s="15" t="s">
        <v>94</v>
      </c>
      <c r="E105" s="15" t="s">
        <v>415</v>
      </c>
      <c r="F105" s="15" t="s">
        <v>173</v>
      </c>
      <c r="G105" s="21">
        <f>2073.3+1969.7</f>
        <v>4043</v>
      </c>
      <c r="H105" s="21">
        <v>3500.3962099999999</v>
      </c>
      <c r="I105" s="27">
        <f t="shared" si="3"/>
        <v>86.579179074944349</v>
      </c>
    </row>
    <row r="106" spans="1:9" ht="26.4">
      <c r="A106" s="62" t="s">
        <v>243</v>
      </c>
      <c r="B106" s="59">
        <v>984</v>
      </c>
      <c r="C106" s="15" t="s">
        <v>105</v>
      </c>
      <c r="D106" s="15" t="s">
        <v>94</v>
      </c>
      <c r="E106" s="15" t="s">
        <v>416</v>
      </c>
      <c r="F106" s="15" t="s">
        <v>91</v>
      </c>
      <c r="G106" s="21">
        <f>G107</f>
        <v>212.9</v>
      </c>
      <c r="H106" s="21">
        <f>H107</f>
        <v>184.32708</v>
      </c>
      <c r="I106" s="27">
        <f t="shared" si="3"/>
        <v>86.579182714889612</v>
      </c>
    </row>
    <row r="107" spans="1:9">
      <c r="A107" s="25" t="s">
        <v>180</v>
      </c>
      <c r="B107" s="59">
        <v>984</v>
      </c>
      <c r="C107" s="15" t="s">
        <v>105</v>
      </c>
      <c r="D107" s="15" t="s">
        <v>94</v>
      </c>
      <c r="E107" s="15" t="s">
        <v>416</v>
      </c>
      <c r="F107" s="15" t="s">
        <v>173</v>
      </c>
      <c r="G107" s="21">
        <f>109.2+103.7</f>
        <v>212.9</v>
      </c>
      <c r="H107" s="21">
        <v>184.32708</v>
      </c>
      <c r="I107" s="27">
        <f t="shared" si="3"/>
        <v>86.579182714889612</v>
      </c>
    </row>
    <row r="108" spans="1:9">
      <c r="A108" s="58" t="s">
        <v>65</v>
      </c>
      <c r="B108" s="59">
        <v>984</v>
      </c>
      <c r="C108" s="15" t="s">
        <v>105</v>
      </c>
      <c r="D108" s="15" t="s">
        <v>100</v>
      </c>
      <c r="E108" s="15" t="s">
        <v>184</v>
      </c>
      <c r="F108" s="15" t="s">
        <v>91</v>
      </c>
      <c r="G108" s="21">
        <f>G109+G117</f>
        <v>5738.5079999999998</v>
      </c>
      <c r="H108" s="21">
        <f>H109+H117</f>
        <v>5031.8301799999999</v>
      </c>
      <c r="I108" s="27">
        <f t="shared" si="3"/>
        <v>87.68533876749845</v>
      </c>
    </row>
    <row r="109" spans="1:9">
      <c r="A109" s="58" t="s">
        <v>108</v>
      </c>
      <c r="B109" s="59">
        <v>984</v>
      </c>
      <c r="C109" s="15" t="s">
        <v>105</v>
      </c>
      <c r="D109" s="15" t="s">
        <v>100</v>
      </c>
      <c r="E109" s="15" t="s">
        <v>151</v>
      </c>
      <c r="F109" s="15" t="s">
        <v>91</v>
      </c>
      <c r="G109" s="21">
        <f>G110</f>
        <v>5041.3630000000003</v>
      </c>
      <c r="H109" s="21">
        <f>H110</f>
        <v>4334.6943000000001</v>
      </c>
      <c r="I109" s="27">
        <f t="shared" si="3"/>
        <v>85.982586455289962</v>
      </c>
    </row>
    <row r="110" spans="1:9">
      <c r="A110" s="58" t="s">
        <v>67</v>
      </c>
      <c r="B110" s="59">
        <v>984</v>
      </c>
      <c r="C110" s="15" t="s">
        <v>105</v>
      </c>
      <c r="D110" s="15" t="s">
        <v>100</v>
      </c>
      <c r="E110" s="15" t="s">
        <v>152</v>
      </c>
      <c r="F110" s="15" t="s">
        <v>91</v>
      </c>
      <c r="G110" s="21">
        <f>G111+G114+G116</f>
        <v>5041.3630000000003</v>
      </c>
      <c r="H110" s="21">
        <f>H111+H114+H116</f>
        <v>4334.6943000000001</v>
      </c>
      <c r="I110" s="27">
        <f t="shared" si="3"/>
        <v>85.982586455289962</v>
      </c>
    </row>
    <row r="111" spans="1:9">
      <c r="A111" s="58" t="s">
        <v>70</v>
      </c>
      <c r="B111" s="59">
        <v>984</v>
      </c>
      <c r="C111" s="15" t="s">
        <v>105</v>
      </c>
      <c r="D111" s="15" t="s">
        <v>100</v>
      </c>
      <c r="E111" s="15" t="s">
        <v>153</v>
      </c>
      <c r="F111" s="15" t="s">
        <v>91</v>
      </c>
      <c r="G111" s="21">
        <f>G112</f>
        <v>3556.6630000000005</v>
      </c>
      <c r="H111" s="21">
        <f>H112</f>
        <v>3186.0464900000002</v>
      </c>
      <c r="I111" s="27">
        <f t="shared" si="3"/>
        <v>89.579656267686872</v>
      </c>
    </row>
    <row r="112" spans="1:9">
      <c r="A112" s="25" t="s">
        <v>180</v>
      </c>
      <c r="B112" s="59">
        <v>984</v>
      </c>
      <c r="C112" s="15" t="s">
        <v>105</v>
      </c>
      <c r="D112" s="15" t="s">
        <v>100</v>
      </c>
      <c r="E112" s="15" t="s">
        <v>153</v>
      </c>
      <c r="F112" s="15" t="s">
        <v>173</v>
      </c>
      <c r="G112" s="21">
        <f>326+249.224+2800+155.579+100+7.86-59-23</f>
        <v>3556.6630000000005</v>
      </c>
      <c r="H112" s="21">
        <v>3186.0464900000002</v>
      </c>
      <c r="I112" s="27">
        <f t="shared" si="3"/>
        <v>89.579656267686872</v>
      </c>
    </row>
    <row r="113" spans="1:9">
      <c r="A113" s="58" t="s">
        <v>0</v>
      </c>
      <c r="B113" s="59">
        <v>984</v>
      </c>
      <c r="C113" s="15" t="s">
        <v>105</v>
      </c>
      <c r="D113" s="15" t="s">
        <v>100</v>
      </c>
      <c r="E113" s="15" t="s">
        <v>154</v>
      </c>
      <c r="F113" s="15" t="s">
        <v>91</v>
      </c>
      <c r="G113" s="21">
        <f>G114</f>
        <v>648.4</v>
      </c>
      <c r="H113" s="21">
        <f>H114</f>
        <v>445.25783999999999</v>
      </c>
      <c r="I113" s="27">
        <f t="shared" si="3"/>
        <v>68.670240592227017</v>
      </c>
    </row>
    <row r="114" spans="1:9">
      <c r="A114" s="25" t="s">
        <v>180</v>
      </c>
      <c r="B114" s="59">
        <v>984</v>
      </c>
      <c r="C114" s="15" t="s">
        <v>105</v>
      </c>
      <c r="D114" s="15" t="s">
        <v>100</v>
      </c>
      <c r="E114" s="15" t="s">
        <v>154</v>
      </c>
      <c r="F114" s="15" t="s">
        <v>173</v>
      </c>
      <c r="G114" s="21">
        <f>548.4+100</f>
        <v>648.4</v>
      </c>
      <c r="H114" s="21">
        <v>445.25783999999999</v>
      </c>
      <c r="I114" s="27">
        <f t="shared" si="3"/>
        <v>68.670240592227017</v>
      </c>
    </row>
    <row r="115" spans="1:9">
      <c r="A115" s="58" t="s">
        <v>1</v>
      </c>
      <c r="B115" s="59">
        <v>984</v>
      </c>
      <c r="C115" s="15" t="s">
        <v>105</v>
      </c>
      <c r="D115" s="15" t="s">
        <v>100</v>
      </c>
      <c r="E115" s="15" t="s">
        <v>155</v>
      </c>
      <c r="F115" s="15" t="s">
        <v>91</v>
      </c>
      <c r="G115" s="21">
        <f>G116</f>
        <v>836.30000000000007</v>
      </c>
      <c r="H115" s="21">
        <f>H116</f>
        <v>703.38996999999995</v>
      </c>
      <c r="I115" s="27">
        <f t="shared" si="3"/>
        <v>84.107374148032989</v>
      </c>
    </row>
    <row r="116" spans="1:9">
      <c r="A116" s="25" t="s">
        <v>180</v>
      </c>
      <c r="B116" s="59">
        <v>984</v>
      </c>
      <c r="C116" s="15" t="s">
        <v>105</v>
      </c>
      <c r="D116" s="15" t="s">
        <v>100</v>
      </c>
      <c r="E116" s="15" t="s">
        <v>155</v>
      </c>
      <c r="F116" s="15" t="s">
        <v>173</v>
      </c>
      <c r="G116" s="21">
        <f>487.2+200+200-50.9</f>
        <v>836.30000000000007</v>
      </c>
      <c r="H116" s="21">
        <v>703.38996999999995</v>
      </c>
      <c r="I116" s="27">
        <f t="shared" si="3"/>
        <v>84.107374148032989</v>
      </c>
    </row>
    <row r="117" spans="1:9">
      <c r="A117" s="50" t="s">
        <v>417</v>
      </c>
      <c r="B117" s="59">
        <v>984</v>
      </c>
      <c r="C117" s="15" t="s">
        <v>105</v>
      </c>
      <c r="D117" s="15" t="s">
        <v>100</v>
      </c>
      <c r="E117" s="15" t="s">
        <v>418</v>
      </c>
      <c r="F117" s="15" t="s">
        <v>91</v>
      </c>
      <c r="G117" s="21">
        <f>G118</f>
        <v>697.14499999999998</v>
      </c>
      <c r="H117" s="21">
        <f>H118</f>
        <v>697.13588000000004</v>
      </c>
      <c r="I117" s="27">
        <f t="shared" si="3"/>
        <v>99.998691807299778</v>
      </c>
    </row>
    <row r="118" spans="1:9">
      <c r="A118" s="50" t="s">
        <v>419</v>
      </c>
      <c r="B118" s="59">
        <v>984</v>
      </c>
      <c r="C118" s="15" t="s">
        <v>105</v>
      </c>
      <c r="D118" s="15" t="s">
        <v>100</v>
      </c>
      <c r="E118" s="15" t="s">
        <v>418</v>
      </c>
      <c r="F118" s="15" t="s">
        <v>91</v>
      </c>
      <c r="G118" s="21">
        <f>G119+G121+G125+G123</f>
        <v>697.14499999999998</v>
      </c>
      <c r="H118" s="21">
        <f>H119+H121+H125+H123</f>
        <v>697.13588000000004</v>
      </c>
      <c r="I118" s="27">
        <f t="shared" si="3"/>
        <v>99.998691807299778</v>
      </c>
    </row>
    <row r="119" spans="1:9" ht="39.6">
      <c r="A119" s="50" t="s">
        <v>420</v>
      </c>
      <c r="B119" s="59">
        <v>984</v>
      </c>
      <c r="C119" s="15" t="s">
        <v>105</v>
      </c>
      <c r="D119" s="15" t="s">
        <v>100</v>
      </c>
      <c r="E119" s="15" t="s">
        <v>421</v>
      </c>
      <c r="F119" s="15" t="s">
        <v>91</v>
      </c>
      <c r="G119" s="21">
        <f>G120</f>
        <v>230.09200000000001</v>
      </c>
      <c r="H119" s="21">
        <f>H120</f>
        <v>230.09200000000001</v>
      </c>
      <c r="I119" s="27">
        <f t="shared" si="3"/>
        <v>100</v>
      </c>
    </row>
    <row r="120" spans="1:9">
      <c r="A120" s="50" t="s">
        <v>236</v>
      </c>
      <c r="B120" s="59">
        <v>984</v>
      </c>
      <c r="C120" s="15" t="s">
        <v>105</v>
      </c>
      <c r="D120" s="15" t="s">
        <v>100</v>
      </c>
      <c r="E120" s="15" t="s">
        <v>421</v>
      </c>
      <c r="F120" s="15" t="s">
        <v>173</v>
      </c>
      <c r="G120" s="21">
        <v>230.09200000000001</v>
      </c>
      <c r="H120" s="21">
        <v>230.09200000000001</v>
      </c>
      <c r="I120" s="27">
        <f t="shared" si="3"/>
        <v>100</v>
      </c>
    </row>
    <row r="121" spans="1:9" ht="39.6">
      <c r="A121" s="50" t="s">
        <v>422</v>
      </c>
      <c r="B121" s="59">
        <v>984</v>
      </c>
      <c r="C121" s="15" t="s">
        <v>105</v>
      </c>
      <c r="D121" s="15" t="s">
        <v>100</v>
      </c>
      <c r="E121" s="15" t="s">
        <v>423</v>
      </c>
      <c r="F121" s="15" t="s">
        <v>91</v>
      </c>
      <c r="G121" s="21">
        <f>G122</f>
        <v>180.04</v>
      </c>
      <c r="H121" s="21">
        <f>H122</f>
        <v>180.04</v>
      </c>
      <c r="I121" s="27">
        <f t="shared" si="3"/>
        <v>100</v>
      </c>
    </row>
    <row r="122" spans="1:9">
      <c r="A122" s="50" t="s">
        <v>236</v>
      </c>
      <c r="B122" s="59">
        <v>984</v>
      </c>
      <c r="C122" s="15" t="s">
        <v>105</v>
      </c>
      <c r="D122" s="15" t="s">
        <v>100</v>
      </c>
      <c r="E122" s="15" t="s">
        <v>423</v>
      </c>
      <c r="F122" s="15" t="s">
        <v>173</v>
      </c>
      <c r="G122" s="21">
        <v>180.04</v>
      </c>
      <c r="H122" s="21">
        <v>180.04</v>
      </c>
      <c r="I122" s="27">
        <f t="shared" si="3"/>
        <v>100</v>
      </c>
    </row>
    <row r="123" spans="1:9" ht="39.6">
      <c r="A123" s="50" t="s">
        <v>422</v>
      </c>
      <c r="B123" s="59">
        <v>984</v>
      </c>
      <c r="C123" s="15" t="s">
        <v>105</v>
      </c>
      <c r="D123" s="15" t="s">
        <v>100</v>
      </c>
      <c r="E123" s="15" t="s">
        <v>424</v>
      </c>
      <c r="F123" s="15" t="s">
        <v>91</v>
      </c>
      <c r="G123" s="21">
        <f>G124</f>
        <v>190</v>
      </c>
      <c r="H123" s="21">
        <f>H124</f>
        <v>190</v>
      </c>
      <c r="I123" s="27">
        <f t="shared" si="3"/>
        <v>100</v>
      </c>
    </row>
    <row r="124" spans="1:9">
      <c r="A124" s="50" t="s">
        <v>236</v>
      </c>
      <c r="B124" s="59">
        <v>984</v>
      </c>
      <c r="C124" s="15" t="s">
        <v>105</v>
      </c>
      <c r="D124" s="15" t="s">
        <v>100</v>
      </c>
      <c r="E124" s="15" t="s">
        <v>424</v>
      </c>
      <c r="F124" s="15" t="s">
        <v>173</v>
      </c>
      <c r="G124" s="21">
        <v>190</v>
      </c>
      <c r="H124" s="21">
        <v>190</v>
      </c>
      <c r="I124" s="27">
        <f t="shared" si="3"/>
        <v>100</v>
      </c>
    </row>
    <row r="125" spans="1:9" ht="39.6">
      <c r="A125" s="50" t="s">
        <v>425</v>
      </c>
      <c r="B125" s="59">
        <v>984</v>
      </c>
      <c r="C125" s="15" t="s">
        <v>105</v>
      </c>
      <c r="D125" s="15" t="s">
        <v>100</v>
      </c>
      <c r="E125" s="15" t="s">
        <v>426</v>
      </c>
      <c r="F125" s="15" t="s">
        <v>91</v>
      </c>
      <c r="G125" s="21">
        <f>G126</f>
        <v>97.013000000000005</v>
      </c>
      <c r="H125" s="21">
        <f>H126</f>
        <v>97.003879999999995</v>
      </c>
      <c r="I125" s="27">
        <f t="shared" si="3"/>
        <v>99.990599198045615</v>
      </c>
    </row>
    <row r="126" spans="1:9">
      <c r="A126" s="50" t="s">
        <v>236</v>
      </c>
      <c r="B126" s="59">
        <v>984</v>
      </c>
      <c r="C126" s="15" t="s">
        <v>105</v>
      </c>
      <c r="D126" s="15" t="s">
        <v>100</v>
      </c>
      <c r="E126" s="15" t="s">
        <v>426</v>
      </c>
      <c r="F126" s="15" t="s">
        <v>173</v>
      </c>
      <c r="G126" s="21">
        <f>104.873-7.86</f>
        <v>97.013000000000005</v>
      </c>
      <c r="H126" s="21">
        <v>97.003879999999995</v>
      </c>
      <c r="I126" s="27">
        <f t="shared" si="3"/>
        <v>99.990599198045615</v>
      </c>
    </row>
    <row r="127" spans="1:9">
      <c r="A127" s="58" t="s">
        <v>2</v>
      </c>
      <c r="B127" s="59">
        <v>984</v>
      </c>
      <c r="C127" s="15" t="s">
        <v>3</v>
      </c>
      <c r="D127" s="15" t="s">
        <v>90</v>
      </c>
      <c r="E127" s="15" t="s">
        <v>183</v>
      </c>
      <c r="F127" s="15" t="s">
        <v>91</v>
      </c>
      <c r="G127" s="21">
        <f>G131+G128</f>
        <v>122</v>
      </c>
      <c r="H127" s="21">
        <f>H131+H128</f>
        <v>107.67874999999999</v>
      </c>
      <c r="I127" s="27">
        <f t="shared" si="3"/>
        <v>88.261270491803273</v>
      </c>
    </row>
    <row r="128" spans="1:9">
      <c r="A128" s="66" t="s">
        <v>60</v>
      </c>
      <c r="B128" s="59">
        <v>984</v>
      </c>
      <c r="C128" s="15" t="s">
        <v>3</v>
      </c>
      <c r="D128" s="15" t="s">
        <v>105</v>
      </c>
      <c r="E128" s="15" t="s">
        <v>183</v>
      </c>
      <c r="F128" s="15" t="s">
        <v>91</v>
      </c>
      <c r="G128" s="21">
        <f>G129</f>
        <v>42</v>
      </c>
      <c r="H128" s="21">
        <f>H129</f>
        <v>41.69</v>
      </c>
      <c r="I128" s="27">
        <f t="shared" si="3"/>
        <v>99.261904761904745</v>
      </c>
    </row>
    <row r="129" spans="1:9">
      <c r="A129" s="66" t="s">
        <v>65</v>
      </c>
      <c r="B129" s="59">
        <v>984</v>
      </c>
      <c r="C129" s="15" t="s">
        <v>3</v>
      </c>
      <c r="D129" s="15" t="s">
        <v>105</v>
      </c>
      <c r="E129" s="15" t="s">
        <v>184</v>
      </c>
      <c r="F129" s="15" t="s">
        <v>91</v>
      </c>
      <c r="G129" s="21">
        <f>G130</f>
        <v>42</v>
      </c>
      <c r="H129" s="21">
        <f>H130</f>
        <v>41.69</v>
      </c>
      <c r="I129" s="27">
        <f t="shared" si="3"/>
        <v>99.261904761904745</v>
      </c>
    </row>
    <row r="130" spans="1:9">
      <c r="A130" s="50" t="s">
        <v>236</v>
      </c>
      <c r="B130" s="59">
        <v>984</v>
      </c>
      <c r="C130" s="15" t="s">
        <v>3</v>
      </c>
      <c r="D130" s="15" t="s">
        <v>105</v>
      </c>
      <c r="E130" s="15" t="s">
        <v>133</v>
      </c>
      <c r="F130" s="15" t="s">
        <v>173</v>
      </c>
      <c r="G130" s="21">
        <f>83-41</f>
        <v>42</v>
      </c>
      <c r="H130" s="21">
        <v>41.69</v>
      </c>
      <c r="I130" s="27">
        <f t="shared" si="3"/>
        <v>99.261904761904745</v>
      </c>
    </row>
    <row r="131" spans="1:9">
      <c r="A131" s="58" t="s">
        <v>191</v>
      </c>
      <c r="B131" s="59">
        <v>984</v>
      </c>
      <c r="C131" s="15" t="s">
        <v>3</v>
      </c>
      <c r="D131" s="15" t="s">
        <v>3</v>
      </c>
      <c r="E131" s="15" t="s">
        <v>183</v>
      </c>
      <c r="F131" s="15" t="s">
        <v>91</v>
      </c>
      <c r="G131" s="21">
        <f>G133</f>
        <v>80</v>
      </c>
      <c r="H131" s="21">
        <f>H133</f>
        <v>65.988749999999996</v>
      </c>
      <c r="I131" s="27">
        <f t="shared" si="3"/>
        <v>82.485937499999991</v>
      </c>
    </row>
    <row r="132" spans="1:9">
      <c r="A132" s="58" t="s">
        <v>65</v>
      </c>
      <c r="B132" s="59">
        <v>984</v>
      </c>
      <c r="C132" s="15" t="s">
        <v>3</v>
      </c>
      <c r="D132" s="15" t="s">
        <v>3</v>
      </c>
      <c r="E132" s="15" t="s">
        <v>184</v>
      </c>
      <c r="F132" s="15" t="s">
        <v>91</v>
      </c>
      <c r="G132" s="21">
        <f t="shared" ref="G132:H135" si="5">G133</f>
        <v>80</v>
      </c>
      <c r="H132" s="21">
        <f t="shared" si="5"/>
        <v>65.988749999999996</v>
      </c>
      <c r="I132" s="27">
        <f t="shared" si="3"/>
        <v>82.485937499999991</v>
      </c>
    </row>
    <row r="133" spans="1:9">
      <c r="A133" s="58" t="s">
        <v>112</v>
      </c>
      <c r="B133" s="59">
        <v>984</v>
      </c>
      <c r="C133" s="15" t="s">
        <v>3</v>
      </c>
      <c r="D133" s="15" t="s">
        <v>3</v>
      </c>
      <c r="E133" s="15" t="s">
        <v>218</v>
      </c>
      <c r="F133" s="15" t="s">
        <v>91</v>
      </c>
      <c r="G133" s="21">
        <f t="shared" si="5"/>
        <v>80</v>
      </c>
      <c r="H133" s="21">
        <f t="shared" si="5"/>
        <v>65.988749999999996</v>
      </c>
      <c r="I133" s="27">
        <f t="shared" si="3"/>
        <v>82.485937499999991</v>
      </c>
    </row>
    <row r="134" spans="1:9">
      <c r="A134" s="58" t="s">
        <v>67</v>
      </c>
      <c r="B134" s="59">
        <v>984</v>
      </c>
      <c r="C134" s="15" t="s">
        <v>3</v>
      </c>
      <c r="D134" s="15" t="s">
        <v>3</v>
      </c>
      <c r="E134" s="15" t="s">
        <v>219</v>
      </c>
      <c r="F134" s="15" t="s">
        <v>91</v>
      </c>
      <c r="G134" s="21">
        <f t="shared" si="5"/>
        <v>80</v>
      </c>
      <c r="H134" s="21">
        <f t="shared" si="5"/>
        <v>65.988749999999996</v>
      </c>
      <c r="I134" s="27">
        <f t="shared" si="3"/>
        <v>82.485937499999991</v>
      </c>
    </row>
    <row r="135" spans="1:9">
      <c r="A135" s="58" t="s">
        <v>196</v>
      </c>
      <c r="B135" s="59">
        <v>984</v>
      </c>
      <c r="C135" s="15" t="s">
        <v>3</v>
      </c>
      <c r="D135" s="15" t="s">
        <v>3</v>
      </c>
      <c r="E135" s="15" t="s">
        <v>220</v>
      </c>
      <c r="F135" s="15" t="s">
        <v>91</v>
      </c>
      <c r="G135" s="21">
        <f t="shared" si="5"/>
        <v>80</v>
      </c>
      <c r="H135" s="21">
        <f t="shared" si="5"/>
        <v>65.988749999999996</v>
      </c>
      <c r="I135" s="27">
        <f t="shared" si="3"/>
        <v>82.485937499999991</v>
      </c>
    </row>
    <row r="136" spans="1:9">
      <c r="A136" s="25" t="s">
        <v>180</v>
      </c>
      <c r="B136" s="59">
        <v>984</v>
      </c>
      <c r="C136" s="15" t="s">
        <v>3</v>
      </c>
      <c r="D136" s="15" t="s">
        <v>3</v>
      </c>
      <c r="E136" s="15" t="s">
        <v>220</v>
      </c>
      <c r="F136" s="15" t="s">
        <v>173</v>
      </c>
      <c r="G136" s="21">
        <f>20+30+30</f>
        <v>80</v>
      </c>
      <c r="H136" s="21">
        <v>65.988749999999996</v>
      </c>
      <c r="I136" s="27">
        <f t="shared" si="3"/>
        <v>82.485937499999991</v>
      </c>
    </row>
    <row r="137" spans="1:9">
      <c r="A137" s="61" t="s">
        <v>187</v>
      </c>
      <c r="B137" s="59">
        <v>984</v>
      </c>
      <c r="C137" s="15" t="s">
        <v>4</v>
      </c>
      <c r="D137" s="15" t="s">
        <v>90</v>
      </c>
      <c r="E137" s="15" t="s">
        <v>183</v>
      </c>
      <c r="F137" s="15" t="s">
        <v>91</v>
      </c>
      <c r="G137" s="21">
        <f>G138</f>
        <v>242.5</v>
      </c>
      <c r="H137" s="21">
        <f>H138</f>
        <v>200.29145</v>
      </c>
      <c r="I137" s="27">
        <f t="shared" si="3"/>
        <v>82.594412371134013</v>
      </c>
    </row>
    <row r="138" spans="1:9">
      <c r="A138" s="61" t="s">
        <v>5</v>
      </c>
      <c r="B138" s="59">
        <v>984</v>
      </c>
      <c r="C138" s="15" t="s">
        <v>4</v>
      </c>
      <c r="D138" s="15" t="s">
        <v>93</v>
      </c>
      <c r="E138" s="15" t="s">
        <v>183</v>
      </c>
      <c r="F138" s="15" t="s">
        <v>91</v>
      </c>
      <c r="G138" s="21">
        <f>G140</f>
        <v>242.5</v>
      </c>
      <c r="H138" s="21">
        <f>H140</f>
        <v>200.29145</v>
      </c>
      <c r="I138" s="27">
        <f t="shared" si="3"/>
        <v>82.594412371134013</v>
      </c>
    </row>
    <row r="139" spans="1:9">
      <c r="A139" s="58" t="s">
        <v>65</v>
      </c>
      <c r="B139" s="59">
        <v>984</v>
      </c>
      <c r="C139" s="15" t="s">
        <v>4</v>
      </c>
      <c r="D139" s="15" t="s">
        <v>93</v>
      </c>
      <c r="E139" s="15" t="s">
        <v>184</v>
      </c>
      <c r="F139" s="15" t="s">
        <v>91</v>
      </c>
      <c r="G139" s="21">
        <f>G140</f>
        <v>242.5</v>
      </c>
      <c r="H139" s="21">
        <f>H140</f>
        <v>200.29145</v>
      </c>
      <c r="I139" s="27">
        <f t="shared" si="3"/>
        <v>82.594412371134013</v>
      </c>
    </row>
    <row r="140" spans="1:9">
      <c r="A140" s="61" t="s">
        <v>111</v>
      </c>
      <c r="B140" s="59">
        <v>984</v>
      </c>
      <c r="C140" s="15" t="s">
        <v>4</v>
      </c>
      <c r="D140" s="15" t="s">
        <v>93</v>
      </c>
      <c r="E140" s="15" t="s">
        <v>167</v>
      </c>
      <c r="F140" s="15" t="s">
        <v>91</v>
      </c>
      <c r="G140" s="21">
        <f>G141+G144</f>
        <v>242.5</v>
      </c>
      <c r="H140" s="21">
        <f>H141+H144</f>
        <v>200.29145</v>
      </c>
      <c r="I140" s="27">
        <f t="shared" si="3"/>
        <v>82.594412371134013</v>
      </c>
    </row>
    <row r="141" spans="1:9">
      <c r="A141" s="58" t="s">
        <v>67</v>
      </c>
      <c r="B141" s="59">
        <v>984</v>
      </c>
      <c r="C141" s="15" t="s">
        <v>4</v>
      </c>
      <c r="D141" s="15" t="s">
        <v>93</v>
      </c>
      <c r="E141" s="15" t="s">
        <v>168</v>
      </c>
      <c r="F141" s="15" t="s">
        <v>91</v>
      </c>
      <c r="G141" s="21">
        <f>G142</f>
        <v>202</v>
      </c>
      <c r="H141" s="21">
        <f>H142</f>
        <v>159.79145</v>
      </c>
      <c r="I141" s="27">
        <f t="shared" ref="I141:I179" si="6">H141/G141*100</f>
        <v>79.104678217821771</v>
      </c>
    </row>
    <row r="142" spans="1:9">
      <c r="A142" s="67" t="s">
        <v>72</v>
      </c>
      <c r="B142" s="59">
        <v>984</v>
      </c>
      <c r="C142" s="15" t="s">
        <v>4</v>
      </c>
      <c r="D142" s="15" t="s">
        <v>93</v>
      </c>
      <c r="E142" s="15" t="s">
        <v>169</v>
      </c>
      <c r="F142" s="15" t="s">
        <v>91</v>
      </c>
      <c r="G142" s="21">
        <f>G143</f>
        <v>202</v>
      </c>
      <c r="H142" s="21">
        <f>H143</f>
        <v>159.79145</v>
      </c>
      <c r="I142" s="27">
        <f t="shared" si="6"/>
        <v>79.104678217821771</v>
      </c>
    </row>
    <row r="143" spans="1:9">
      <c r="A143" s="25" t="s">
        <v>180</v>
      </c>
      <c r="B143" s="59">
        <v>984</v>
      </c>
      <c r="C143" s="15" t="s">
        <v>4</v>
      </c>
      <c r="D143" s="15" t="s">
        <v>93</v>
      </c>
      <c r="E143" s="15" t="s">
        <v>169</v>
      </c>
      <c r="F143" s="15" t="s">
        <v>173</v>
      </c>
      <c r="G143" s="21">
        <f>158+44</f>
        <v>202</v>
      </c>
      <c r="H143" s="21">
        <v>159.79145</v>
      </c>
      <c r="I143" s="27">
        <f t="shared" si="6"/>
        <v>79.104678217821771</v>
      </c>
    </row>
    <row r="144" spans="1:9" ht="26.4">
      <c r="A144" s="58" t="s">
        <v>116</v>
      </c>
      <c r="B144" s="59">
        <v>984</v>
      </c>
      <c r="C144" s="15" t="s">
        <v>4</v>
      </c>
      <c r="D144" s="15" t="s">
        <v>93</v>
      </c>
      <c r="E144" s="15" t="s">
        <v>178</v>
      </c>
      <c r="F144" s="15" t="s">
        <v>91</v>
      </c>
      <c r="G144" s="21">
        <f>G145</f>
        <v>40.5</v>
      </c>
      <c r="H144" s="21">
        <f>H145</f>
        <v>40.5</v>
      </c>
      <c r="I144" s="27">
        <f t="shared" si="6"/>
        <v>100</v>
      </c>
    </row>
    <row r="145" spans="1:9" ht="26.4">
      <c r="A145" s="58" t="s">
        <v>15</v>
      </c>
      <c r="B145" s="59">
        <v>984</v>
      </c>
      <c r="C145" s="15" t="s">
        <v>4</v>
      </c>
      <c r="D145" s="15" t="s">
        <v>93</v>
      </c>
      <c r="E145" s="15" t="s">
        <v>179</v>
      </c>
      <c r="F145" s="15" t="s">
        <v>91</v>
      </c>
      <c r="G145" s="21">
        <f>G146</f>
        <v>40.5</v>
      </c>
      <c r="H145" s="21">
        <f>H146</f>
        <v>40.5</v>
      </c>
      <c r="I145" s="27">
        <f t="shared" si="6"/>
        <v>100</v>
      </c>
    </row>
    <row r="146" spans="1:9">
      <c r="A146" s="50" t="s">
        <v>176</v>
      </c>
      <c r="B146" s="59">
        <v>984</v>
      </c>
      <c r="C146" s="15" t="s">
        <v>4</v>
      </c>
      <c r="D146" s="15" t="s">
        <v>93</v>
      </c>
      <c r="E146" s="15" t="s">
        <v>179</v>
      </c>
      <c r="F146" s="15" t="s">
        <v>175</v>
      </c>
      <c r="G146" s="21">
        <v>40.5</v>
      </c>
      <c r="H146" s="21">
        <v>40.5</v>
      </c>
      <c r="I146" s="27">
        <f t="shared" si="6"/>
        <v>100</v>
      </c>
    </row>
    <row r="147" spans="1:9">
      <c r="A147" s="60" t="s">
        <v>61</v>
      </c>
      <c r="B147" s="59">
        <v>984</v>
      </c>
      <c r="C147" s="15" t="s">
        <v>103</v>
      </c>
      <c r="D147" s="15" t="s">
        <v>90</v>
      </c>
      <c r="E147" s="15" t="s">
        <v>183</v>
      </c>
      <c r="F147" s="15" t="s">
        <v>91</v>
      </c>
      <c r="G147" s="21">
        <f>G148</f>
        <v>567</v>
      </c>
      <c r="H147" s="21">
        <f>H148</f>
        <v>566.9796</v>
      </c>
      <c r="I147" s="27">
        <f t="shared" si="6"/>
        <v>99.996402116402123</v>
      </c>
    </row>
    <row r="148" spans="1:9">
      <c r="A148" s="60" t="s">
        <v>62</v>
      </c>
      <c r="B148" s="59">
        <v>984</v>
      </c>
      <c r="C148" s="15" t="s">
        <v>103</v>
      </c>
      <c r="D148" s="15" t="s">
        <v>93</v>
      </c>
      <c r="E148" s="15" t="s">
        <v>183</v>
      </c>
      <c r="F148" s="15" t="s">
        <v>91</v>
      </c>
      <c r="G148" s="21">
        <f>G150</f>
        <v>567</v>
      </c>
      <c r="H148" s="21">
        <f>H150</f>
        <v>566.9796</v>
      </c>
      <c r="I148" s="27">
        <f t="shared" si="6"/>
        <v>99.996402116402123</v>
      </c>
    </row>
    <row r="149" spans="1:9">
      <c r="A149" s="58" t="s">
        <v>65</v>
      </c>
      <c r="B149" s="59">
        <v>984</v>
      </c>
      <c r="C149" s="15" t="s">
        <v>103</v>
      </c>
      <c r="D149" s="15" t="s">
        <v>93</v>
      </c>
      <c r="E149" s="15" t="s">
        <v>184</v>
      </c>
      <c r="F149" s="15" t="s">
        <v>91</v>
      </c>
      <c r="G149" s="21">
        <f t="shared" ref="G149:H152" si="7">G150</f>
        <v>567</v>
      </c>
      <c r="H149" s="21">
        <f t="shared" si="7"/>
        <v>566.9796</v>
      </c>
      <c r="I149" s="27">
        <f t="shared" si="6"/>
        <v>99.996402116402123</v>
      </c>
    </row>
    <row r="150" spans="1:9">
      <c r="A150" s="58" t="s">
        <v>48</v>
      </c>
      <c r="B150" s="59">
        <v>984</v>
      </c>
      <c r="C150" s="15" t="s">
        <v>103</v>
      </c>
      <c r="D150" s="15" t="s">
        <v>93</v>
      </c>
      <c r="E150" s="15" t="s">
        <v>170</v>
      </c>
      <c r="F150" s="15" t="s">
        <v>91</v>
      </c>
      <c r="G150" s="21">
        <f t="shared" si="7"/>
        <v>567</v>
      </c>
      <c r="H150" s="21">
        <f t="shared" si="7"/>
        <v>566.9796</v>
      </c>
      <c r="I150" s="27">
        <f t="shared" si="6"/>
        <v>99.996402116402123</v>
      </c>
    </row>
    <row r="151" spans="1:9">
      <c r="A151" s="60" t="s">
        <v>63</v>
      </c>
      <c r="B151" s="59">
        <v>984</v>
      </c>
      <c r="C151" s="15" t="s">
        <v>103</v>
      </c>
      <c r="D151" s="15" t="s">
        <v>93</v>
      </c>
      <c r="E151" s="15" t="s">
        <v>143</v>
      </c>
      <c r="F151" s="15" t="s">
        <v>91</v>
      </c>
      <c r="G151" s="21">
        <f t="shared" si="7"/>
        <v>567</v>
      </c>
      <c r="H151" s="21">
        <f t="shared" si="7"/>
        <v>566.9796</v>
      </c>
      <c r="I151" s="27">
        <f t="shared" si="6"/>
        <v>99.996402116402123</v>
      </c>
    </row>
    <row r="152" spans="1:9">
      <c r="A152" s="60" t="s">
        <v>190</v>
      </c>
      <c r="B152" s="59">
        <v>984</v>
      </c>
      <c r="C152" s="15" t="s">
        <v>103</v>
      </c>
      <c r="D152" s="15" t="s">
        <v>93</v>
      </c>
      <c r="E152" s="15" t="s">
        <v>144</v>
      </c>
      <c r="F152" s="15" t="s">
        <v>91</v>
      </c>
      <c r="G152" s="21">
        <f t="shared" si="7"/>
        <v>567</v>
      </c>
      <c r="H152" s="21">
        <f t="shared" si="7"/>
        <v>566.9796</v>
      </c>
      <c r="I152" s="27">
        <f t="shared" si="6"/>
        <v>99.996402116402123</v>
      </c>
    </row>
    <row r="153" spans="1:9">
      <c r="A153" s="50" t="s">
        <v>182</v>
      </c>
      <c r="B153" s="59">
        <v>984</v>
      </c>
      <c r="C153" s="15" t="s">
        <v>103</v>
      </c>
      <c r="D153" s="15" t="s">
        <v>93</v>
      </c>
      <c r="E153" s="15" t="s">
        <v>144</v>
      </c>
      <c r="F153" s="15" t="s">
        <v>177</v>
      </c>
      <c r="G153" s="21">
        <f>567-417+417</f>
        <v>567</v>
      </c>
      <c r="H153" s="21">
        <v>566.9796</v>
      </c>
      <c r="I153" s="27">
        <f t="shared" si="6"/>
        <v>99.996402116402123</v>
      </c>
    </row>
    <row r="154" spans="1:9">
      <c r="A154" s="58" t="s">
        <v>65</v>
      </c>
      <c r="B154" s="59">
        <v>984</v>
      </c>
      <c r="C154" s="15" t="s">
        <v>10</v>
      </c>
      <c r="D154" s="15" t="s">
        <v>94</v>
      </c>
      <c r="E154" s="15" t="s">
        <v>184</v>
      </c>
      <c r="F154" s="15" t="s">
        <v>91</v>
      </c>
      <c r="G154" s="21">
        <f>G155+G161+G163+G165</f>
        <v>9698.8850000000002</v>
      </c>
      <c r="H154" s="21">
        <f>H155+H161+H163+H165</f>
        <v>9670.4303099999997</v>
      </c>
      <c r="I154" s="27">
        <f t="shared" si="6"/>
        <v>99.706618956715118</v>
      </c>
    </row>
    <row r="155" spans="1:9">
      <c r="A155" s="61" t="s">
        <v>113</v>
      </c>
      <c r="B155" s="59">
        <v>984</v>
      </c>
      <c r="C155" s="15" t="s">
        <v>10</v>
      </c>
      <c r="D155" s="15" t="s">
        <v>94</v>
      </c>
      <c r="E155" s="15" t="s">
        <v>217</v>
      </c>
      <c r="F155" s="15" t="s">
        <v>91</v>
      </c>
      <c r="G155" s="21">
        <f>G156+G159</f>
        <v>597.87490000000003</v>
      </c>
      <c r="H155" s="21">
        <f>H156+H159</f>
        <v>569.42365999999993</v>
      </c>
      <c r="I155" s="27">
        <f t="shared" si="6"/>
        <v>95.241272045372682</v>
      </c>
    </row>
    <row r="156" spans="1:9">
      <c r="A156" s="58" t="s">
        <v>67</v>
      </c>
      <c r="B156" s="59">
        <v>984</v>
      </c>
      <c r="C156" s="15" t="s">
        <v>10</v>
      </c>
      <c r="D156" s="15" t="s">
        <v>94</v>
      </c>
      <c r="E156" s="15" t="s">
        <v>216</v>
      </c>
      <c r="F156" s="15" t="s">
        <v>91</v>
      </c>
      <c r="G156" s="21">
        <f>G157</f>
        <v>103.39500000000001</v>
      </c>
      <c r="H156" s="21">
        <f>H157</f>
        <v>74.945310000000006</v>
      </c>
      <c r="I156" s="27">
        <f t="shared" si="6"/>
        <v>72.484462498186559</v>
      </c>
    </row>
    <row r="157" spans="1:9">
      <c r="A157" s="67" t="s">
        <v>73</v>
      </c>
      <c r="B157" s="59">
        <v>984</v>
      </c>
      <c r="C157" s="15" t="s">
        <v>10</v>
      </c>
      <c r="D157" s="15" t="s">
        <v>94</v>
      </c>
      <c r="E157" s="15" t="s">
        <v>215</v>
      </c>
      <c r="F157" s="15" t="s">
        <v>91</v>
      </c>
      <c r="G157" s="21">
        <f>G158</f>
        <v>103.39500000000001</v>
      </c>
      <c r="H157" s="21">
        <f>H158</f>
        <v>74.945310000000006</v>
      </c>
      <c r="I157" s="27">
        <f t="shared" si="6"/>
        <v>72.484462498186559</v>
      </c>
    </row>
    <row r="158" spans="1:9">
      <c r="A158" s="25" t="s">
        <v>180</v>
      </c>
      <c r="B158" s="59">
        <v>984</v>
      </c>
      <c r="C158" s="15" t="s">
        <v>10</v>
      </c>
      <c r="D158" s="15" t="s">
        <v>94</v>
      </c>
      <c r="E158" s="15" t="s">
        <v>215</v>
      </c>
      <c r="F158" s="15" t="s">
        <v>173</v>
      </c>
      <c r="G158" s="21">
        <f>82.4+20.885+0.11</f>
        <v>103.39500000000001</v>
      </c>
      <c r="H158" s="21">
        <v>74.945310000000006</v>
      </c>
      <c r="I158" s="27">
        <f t="shared" si="6"/>
        <v>72.484462498186559</v>
      </c>
    </row>
    <row r="159" spans="1:9" ht="26.4">
      <c r="A159" s="69" t="s">
        <v>427</v>
      </c>
      <c r="B159" s="59">
        <v>984</v>
      </c>
      <c r="C159" s="15" t="s">
        <v>10</v>
      </c>
      <c r="D159" s="15" t="s">
        <v>94</v>
      </c>
      <c r="E159" s="15" t="s">
        <v>428</v>
      </c>
      <c r="F159" s="15" t="s">
        <v>91</v>
      </c>
      <c r="G159" s="21">
        <f>G160</f>
        <v>494.47989999999999</v>
      </c>
      <c r="H159" s="21">
        <f>H160</f>
        <v>494.47834999999998</v>
      </c>
      <c r="I159" s="27">
        <f t="shared" si="6"/>
        <v>99.99968653933152</v>
      </c>
    </row>
    <row r="160" spans="1:9">
      <c r="A160" s="25" t="s">
        <v>180</v>
      </c>
      <c r="B160" s="59">
        <v>984</v>
      </c>
      <c r="C160" s="15" t="s">
        <v>10</v>
      </c>
      <c r="D160" s="15" t="s">
        <v>94</v>
      </c>
      <c r="E160" s="15" t="s">
        <v>428</v>
      </c>
      <c r="F160" s="15" t="s">
        <v>173</v>
      </c>
      <c r="G160" s="21">
        <f>494.5-0.11+0.0899</f>
        <v>494.47989999999999</v>
      </c>
      <c r="H160" s="21">
        <v>494.47834999999998</v>
      </c>
      <c r="I160" s="27">
        <f t="shared" si="6"/>
        <v>99.99968653933152</v>
      </c>
    </row>
    <row r="161" spans="1:9" ht="26.4">
      <c r="A161" s="69" t="s">
        <v>429</v>
      </c>
      <c r="B161" s="59">
        <v>984</v>
      </c>
      <c r="C161" s="15" t="s">
        <v>10</v>
      </c>
      <c r="D161" s="15" t="s">
        <v>94</v>
      </c>
      <c r="E161" s="15" t="s">
        <v>430</v>
      </c>
      <c r="F161" s="15" t="s">
        <v>91</v>
      </c>
      <c r="G161" s="21">
        <f>G162</f>
        <v>8020</v>
      </c>
      <c r="H161" s="21">
        <f>H162</f>
        <v>8020</v>
      </c>
      <c r="I161" s="27">
        <f t="shared" si="6"/>
        <v>100</v>
      </c>
    </row>
    <row r="162" spans="1:9">
      <c r="A162" s="25" t="s">
        <v>180</v>
      </c>
      <c r="B162" s="59">
        <v>984</v>
      </c>
      <c r="C162" s="15" t="s">
        <v>10</v>
      </c>
      <c r="D162" s="15" t="s">
        <v>94</v>
      </c>
      <c r="E162" s="15" t="s">
        <v>430</v>
      </c>
      <c r="F162" s="15" t="s">
        <v>173</v>
      </c>
      <c r="G162" s="21">
        <v>8020</v>
      </c>
      <c r="H162" s="21">
        <v>8020</v>
      </c>
      <c r="I162" s="27">
        <f t="shared" si="6"/>
        <v>100</v>
      </c>
    </row>
    <row r="163" spans="1:9" ht="26.4">
      <c r="A163" s="70" t="s">
        <v>431</v>
      </c>
      <c r="B163" s="59">
        <v>984</v>
      </c>
      <c r="C163" s="15" t="s">
        <v>10</v>
      </c>
      <c r="D163" s="15" t="s">
        <v>94</v>
      </c>
      <c r="E163" s="15" t="s">
        <v>432</v>
      </c>
      <c r="F163" s="15" t="s">
        <v>91</v>
      </c>
      <c r="G163" s="21">
        <f>G164</f>
        <v>81.010099999999994</v>
      </c>
      <c r="H163" s="21">
        <f>H164</f>
        <v>81.010099999999994</v>
      </c>
      <c r="I163" s="27">
        <f t="shared" si="6"/>
        <v>100</v>
      </c>
    </row>
    <row r="164" spans="1:9">
      <c r="A164" s="25" t="s">
        <v>180</v>
      </c>
      <c r="B164" s="59">
        <v>984</v>
      </c>
      <c r="C164" s="15" t="s">
        <v>10</v>
      </c>
      <c r="D164" s="15" t="s">
        <v>94</v>
      </c>
      <c r="E164" s="15" t="s">
        <v>432</v>
      </c>
      <c r="F164" s="15" t="s">
        <v>173</v>
      </c>
      <c r="G164" s="21">
        <f>81.1-0.0899</f>
        <v>81.010099999999994</v>
      </c>
      <c r="H164" s="21">
        <v>81.010099999999994</v>
      </c>
      <c r="I164" s="27">
        <f t="shared" si="6"/>
        <v>100</v>
      </c>
    </row>
    <row r="165" spans="1:9">
      <c r="A165" s="66" t="s">
        <v>48</v>
      </c>
      <c r="B165" s="59">
        <v>984</v>
      </c>
      <c r="C165" s="15" t="s">
        <v>10</v>
      </c>
      <c r="D165" s="15" t="s">
        <v>94</v>
      </c>
      <c r="E165" s="15" t="s">
        <v>403</v>
      </c>
      <c r="F165" s="15" t="s">
        <v>91</v>
      </c>
      <c r="G165" s="21">
        <f>G166</f>
        <v>1000</v>
      </c>
      <c r="H165" s="21">
        <f>H166</f>
        <v>999.99654999999996</v>
      </c>
      <c r="I165" s="27">
        <f t="shared" si="6"/>
        <v>99.999655000000004</v>
      </c>
    </row>
    <row r="166" spans="1:9">
      <c r="A166" s="24" t="s">
        <v>235</v>
      </c>
      <c r="B166" s="59">
        <v>984</v>
      </c>
      <c r="C166" s="15" t="s">
        <v>10</v>
      </c>
      <c r="D166" s="15" t="s">
        <v>94</v>
      </c>
      <c r="E166" s="15" t="s">
        <v>433</v>
      </c>
      <c r="F166" s="15" t="s">
        <v>91</v>
      </c>
      <c r="G166" s="21">
        <f>G167</f>
        <v>1000</v>
      </c>
      <c r="H166" s="21">
        <f>H167</f>
        <v>999.99654999999996</v>
      </c>
      <c r="I166" s="27">
        <f t="shared" si="6"/>
        <v>99.999655000000004</v>
      </c>
    </row>
    <row r="167" spans="1:9">
      <c r="A167" s="50" t="s">
        <v>180</v>
      </c>
      <c r="B167" s="59">
        <v>984</v>
      </c>
      <c r="C167" s="15" t="s">
        <v>10</v>
      </c>
      <c r="D167" s="15" t="s">
        <v>94</v>
      </c>
      <c r="E167" s="15" t="s">
        <v>433</v>
      </c>
      <c r="F167" s="15" t="s">
        <v>173</v>
      </c>
      <c r="G167" s="21">
        <v>1000</v>
      </c>
      <c r="H167" s="21">
        <v>999.99654999999996</v>
      </c>
      <c r="I167" s="27">
        <f t="shared" si="6"/>
        <v>99.999655000000004</v>
      </c>
    </row>
    <row r="168" spans="1:9" ht="26.4">
      <c r="A168" s="71" t="s">
        <v>392</v>
      </c>
      <c r="B168" s="72">
        <v>994</v>
      </c>
      <c r="C168" s="73" t="s">
        <v>90</v>
      </c>
      <c r="D168" s="73" t="s">
        <v>90</v>
      </c>
      <c r="E168" s="74" t="s">
        <v>183</v>
      </c>
      <c r="F168" s="73" t="s">
        <v>393</v>
      </c>
      <c r="G168" s="68">
        <f t="shared" ref="G168:H171" si="8">G169</f>
        <v>5272.4</v>
      </c>
      <c r="H168" s="68">
        <f t="shared" si="8"/>
        <v>5016.1064099999994</v>
      </c>
      <c r="I168" s="27">
        <f t="shared" si="6"/>
        <v>95.138957780138071</v>
      </c>
    </row>
    <row r="169" spans="1:9">
      <c r="A169" s="58" t="s">
        <v>92</v>
      </c>
      <c r="B169" s="59">
        <v>994</v>
      </c>
      <c r="C169" s="15" t="s">
        <v>93</v>
      </c>
      <c r="D169" s="15" t="s">
        <v>90</v>
      </c>
      <c r="E169" s="15" t="s">
        <v>183</v>
      </c>
      <c r="F169" s="15" t="s">
        <v>91</v>
      </c>
      <c r="G169" s="21">
        <f t="shared" si="8"/>
        <v>5272.4</v>
      </c>
      <c r="H169" s="21">
        <f t="shared" si="8"/>
        <v>5016.1064099999994</v>
      </c>
      <c r="I169" s="27">
        <f t="shared" si="6"/>
        <v>95.138957780138071</v>
      </c>
    </row>
    <row r="170" spans="1:9">
      <c r="A170" s="58" t="s">
        <v>97</v>
      </c>
      <c r="B170" s="59">
        <v>994</v>
      </c>
      <c r="C170" s="15" t="s">
        <v>93</v>
      </c>
      <c r="D170" s="15" t="s">
        <v>6</v>
      </c>
      <c r="E170" s="15" t="s">
        <v>183</v>
      </c>
      <c r="F170" s="15" t="s">
        <v>91</v>
      </c>
      <c r="G170" s="21">
        <f t="shared" si="8"/>
        <v>5272.4</v>
      </c>
      <c r="H170" s="21">
        <f t="shared" si="8"/>
        <v>5016.1064099999994</v>
      </c>
      <c r="I170" s="27">
        <f t="shared" si="6"/>
        <v>95.138957780138071</v>
      </c>
    </row>
    <row r="171" spans="1:9">
      <c r="A171" s="58" t="s">
        <v>65</v>
      </c>
      <c r="B171" s="59">
        <v>994</v>
      </c>
      <c r="C171" s="15" t="s">
        <v>93</v>
      </c>
      <c r="D171" s="15" t="s">
        <v>6</v>
      </c>
      <c r="E171" s="15" t="s">
        <v>184</v>
      </c>
      <c r="F171" s="15" t="s">
        <v>91</v>
      </c>
      <c r="G171" s="21">
        <f t="shared" si="8"/>
        <v>5272.4</v>
      </c>
      <c r="H171" s="21">
        <f t="shared" si="8"/>
        <v>5016.1064099999994</v>
      </c>
      <c r="I171" s="27">
        <f t="shared" si="6"/>
        <v>95.138957780138071</v>
      </c>
    </row>
    <row r="172" spans="1:9">
      <c r="A172" s="75" t="s">
        <v>110</v>
      </c>
      <c r="B172" s="59">
        <v>994</v>
      </c>
      <c r="C172" s="15" t="s">
        <v>93</v>
      </c>
      <c r="D172" s="15" t="s">
        <v>6</v>
      </c>
      <c r="E172" s="15" t="s">
        <v>162</v>
      </c>
      <c r="F172" s="15" t="s">
        <v>91</v>
      </c>
      <c r="G172" s="21">
        <f>G173+G176</f>
        <v>5272.4</v>
      </c>
      <c r="H172" s="21">
        <f>H173+H176</f>
        <v>5016.1064099999994</v>
      </c>
      <c r="I172" s="27">
        <f t="shared" si="6"/>
        <v>95.138957780138071</v>
      </c>
    </row>
    <row r="173" spans="1:9" ht="26.4">
      <c r="A173" s="58" t="s">
        <v>189</v>
      </c>
      <c r="B173" s="59">
        <v>994</v>
      </c>
      <c r="C173" s="15" t="s">
        <v>93</v>
      </c>
      <c r="D173" s="15" t="s">
        <v>6</v>
      </c>
      <c r="E173" s="15" t="s">
        <v>163</v>
      </c>
      <c r="F173" s="15" t="s">
        <v>91</v>
      </c>
      <c r="G173" s="21">
        <f>G174</f>
        <v>720.5</v>
      </c>
      <c r="H173" s="21">
        <f>H174</f>
        <v>686.27913999999998</v>
      </c>
      <c r="I173" s="27">
        <f t="shared" si="6"/>
        <v>95.25040111034005</v>
      </c>
    </row>
    <row r="174" spans="1:9">
      <c r="A174" s="75" t="s">
        <v>75</v>
      </c>
      <c r="B174" s="59">
        <v>994</v>
      </c>
      <c r="C174" s="15" t="s">
        <v>93</v>
      </c>
      <c r="D174" s="15" t="s">
        <v>6</v>
      </c>
      <c r="E174" s="15" t="s">
        <v>164</v>
      </c>
      <c r="F174" s="15" t="s">
        <v>91</v>
      </c>
      <c r="G174" s="21">
        <f>G175</f>
        <v>720.5</v>
      </c>
      <c r="H174" s="21">
        <f>H175</f>
        <v>686.27913999999998</v>
      </c>
      <c r="I174" s="27">
        <f t="shared" si="6"/>
        <v>95.25040111034005</v>
      </c>
    </row>
    <row r="175" spans="1:9" ht="39.6">
      <c r="A175" s="60" t="s">
        <v>172</v>
      </c>
      <c r="B175" s="59">
        <v>994</v>
      </c>
      <c r="C175" s="15" t="s">
        <v>93</v>
      </c>
      <c r="D175" s="15" t="s">
        <v>6</v>
      </c>
      <c r="E175" s="15" t="s">
        <v>164</v>
      </c>
      <c r="F175" s="15" t="s">
        <v>171</v>
      </c>
      <c r="G175" s="21">
        <f>548+4.5+1+167</f>
        <v>720.5</v>
      </c>
      <c r="H175" s="21">
        <v>686.27913999999998</v>
      </c>
      <c r="I175" s="27">
        <f t="shared" si="6"/>
        <v>95.25040111034005</v>
      </c>
    </row>
    <row r="176" spans="1:9">
      <c r="A176" s="58" t="s">
        <v>67</v>
      </c>
      <c r="B176" s="59">
        <v>994</v>
      </c>
      <c r="C176" s="15" t="s">
        <v>93</v>
      </c>
      <c r="D176" s="15" t="s">
        <v>6</v>
      </c>
      <c r="E176" s="15" t="s">
        <v>165</v>
      </c>
      <c r="F176" s="15" t="s">
        <v>91</v>
      </c>
      <c r="G176" s="21">
        <f>G177</f>
        <v>4551.8999999999996</v>
      </c>
      <c r="H176" s="21">
        <f>H177</f>
        <v>4329.8272699999998</v>
      </c>
      <c r="I176" s="27">
        <f t="shared" si="6"/>
        <v>95.121317911201913</v>
      </c>
    </row>
    <row r="177" spans="1:9">
      <c r="A177" s="58" t="s">
        <v>71</v>
      </c>
      <c r="B177" s="59">
        <v>994</v>
      </c>
      <c r="C177" s="15" t="s">
        <v>93</v>
      </c>
      <c r="D177" s="15" t="s">
        <v>6</v>
      </c>
      <c r="E177" s="15" t="s">
        <v>166</v>
      </c>
      <c r="F177" s="15" t="s">
        <v>91</v>
      </c>
      <c r="G177" s="21">
        <f>G178+G179</f>
        <v>4551.8999999999996</v>
      </c>
      <c r="H177" s="21">
        <f>H178+H179</f>
        <v>4329.8272699999998</v>
      </c>
      <c r="I177" s="27">
        <f t="shared" si="6"/>
        <v>95.121317911201913</v>
      </c>
    </row>
    <row r="178" spans="1:9">
      <c r="A178" s="25" t="s">
        <v>180</v>
      </c>
      <c r="B178" s="59">
        <v>994</v>
      </c>
      <c r="C178" s="15" t="s">
        <v>93</v>
      </c>
      <c r="D178" s="15" t="s">
        <v>6</v>
      </c>
      <c r="E178" s="15" t="s">
        <v>166</v>
      </c>
      <c r="F178" s="15" t="s">
        <v>173</v>
      </c>
      <c r="G178" s="21">
        <f>1085.821+575+296.038+15+2075.4+45.8+352.7+100</f>
        <v>4545.759</v>
      </c>
      <c r="H178" s="21">
        <v>4323.6862700000001</v>
      </c>
      <c r="I178" s="27">
        <f t="shared" si="6"/>
        <v>95.114727155575125</v>
      </c>
    </row>
    <row r="179" spans="1:9">
      <c r="A179" s="50" t="s">
        <v>181</v>
      </c>
      <c r="B179" s="59">
        <v>994</v>
      </c>
      <c r="C179" s="15" t="s">
        <v>93</v>
      </c>
      <c r="D179" s="15" t="s">
        <v>6</v>
      </c>
      <c r="E179" s="15" t="s">
        <v>166</v>
      </c>
      <c r="F179" s="45">
        <v>800</v>
      </c>
      <c r="G179" s="45">
        <v>6.141</v>
      </c>
      <c r="H179" s="45">
        <v>6.141</v>
      </c>
      <c r="I179" s="27">
        <f t="shared" si="6"/>
        <v>100</v>
      </c>
    </row>
  </sheetData>
  <mergeCells count="5">
    <mergeCell ref="A6:H7"/>
    <mergeCell ref="F1:H1"/>
    <mergeCell ref="F2:H2"/>
    <mergeCell ref="F4:H4"/>
    <mergeCell ref="F3:H3"/>
  </mergeCells>
  <phoneticPr fontId="1" type="noConversion"/>
  <pageMargins left="0.59055118110236227" right="0.39370078740157483" top="0.78740157480314965" bottom="0.78740157480314965" header="0.19685039370078741" footer="0.19685039370078741"/>
  <pageSetup paperSize="9" scale="9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D33"/>
  <sheetViews>
    <sheetView workbookViewId="0">
      <selection activeCell="D28" sqref="D28"/>
    </sheetView>
  </sheetViews>
  <sheetFormatPr defaultColWidth="9.109375" defaultRowHeight="15.6" outlineLevelRow="1"/>
  <cols>
    <col min="1" max="1" width="81.88671875" style="10" customWidth="1"/>
    <col min="2" max="2" width="28.44140625" style="10" bestFit="1" customWidth="1"/>
    <col min="3" max="4" width="14.33203125" style="10" customWidth="1"/>
    <col min="5" max="16384" width="9.109375" style="10"/>
  </cols>
  <sheetData>
    <row r="1" spans="1:4" ht="11.25" customHeight="1">
      <c r="B1" s="91" t="s">
        <v>131</v>
      </c>
      <c r="C1" s="91"/>
      <c r="D1" s="91"/>
    </row>
    <row r="2" spans="1:4" ht="11.25" customHeight="1">
      <c r="B2" s="91" t="s">
        <v>16</v>
      </c>
      <c r="C2" s="91"/>
      <c r="D2" s="91"/>
    </row>
    <row r="3" spans="1:4" ht="12.75" customHeight="1">
      <c r="B3" s="91" t="s">
        <v>222</v>
      </c>
      <c r="C3" s="91"/>
      <c r="D3" s="91"/>
    </row>
    <row r="4" spans="1:4" outlineLevel="1">
      <c r="B4" s="93"/>
      <c r="C4" s="93"/>
      <c r="D4" s="28"/>
    </row>
    <row r="5" spans="1:4">
      <c r="A5" s="94" t="s">
        <v>17</v>
      </c>
      <c r="B5" s="94"/>
      <c r="C5" s="94"/>
    </row>
    <row r="6" spans="1:4">
      <c r="A6" s="94" t="s">
        <v>44</v>
      </c>
      <c r="B6" s="94"/>
      <c r="C6" s="94"/>
    </row>
    <row r="7" spans="1:4">
      <c r="A7" s="94" t="s">
        <v>43</v>
      </c>
      <c r="B7" s="94"/>
      <c r="C7" s="94"/>
    </row>
    <row r="8" spans="1:4">
      <c r="A8" s="94" t="s">
        <v>202</v>
      </c>
      <c r="B8" s="94"/>
      <c r="C8" s="94"/>
    </row>
    <row r="9" spans="1:4">
      <c r="A9" s="94" t="s">
        <v>231</v>
      </c>
      <c r="B9" s="94"/>
      <c r="C9" s="94"/>
      <c r="D9" s="94"/>
    </row>
    <row r="10" spans="1:4">
      <c r="A10" s="8"/>
      <c r="B10" s="8"/>
      <c r="C10" s="9" t="s">
        <v>45</v>
      </c>
    </row>
    <row r="11" spans="1:4" ht="78">
      <c r="A11" s="29" t="s">
        <v>87</v>
      </c>
      <c r="B11" s="29" t="s">
        <v>79</v>
      </c>
      <c r="C11" s="30" t="s">
        <v>204</v>
      </c>
      <c r="D11" s="30" t="s">
        <v>205</v>
      </c>
    </row>
    <row r="12" spans="1:4" ht="29.25" customHeight="1">
      <c r="A12" s="36" t="s">
        <v>18</v>
      </c>
      <c r="B12" s="31" t="s">
        <v>19</v>
      </c>
      <c r="C12" s="32">
        <f>C23</f>
        <v>3553.2239999999947</v>
      </c>
      <c r="D12" s="32">
        <f>D23</f>
        <v>323.52670999999827</v>
      </c>
    </row>
    <row r="13" spans="1:4" outlineLevel="1">
      <c r="A13" s="36" t="s">
        <v>20</v>
      </c>
      <c r="B13" s="31"/>
      <c r="C13" s="33"/>
      <c r="D13" s="33"/>
    </row>
    <row r="14" spans="1:4" hidden="1" outlineLevel="1">
      <c r="A14" s="37" t="s">
        <v>52</v>
      </c>
      <c r="B14" s="34" t="s">
        <v>51</v>
      </c>
      <c r="C14" s="33">
        <f>C17-C15</f>
        <v>0</v>
      </c>
      <c r="D14" s="33">
        <f>D17-D15</f>
        <v>0</v>
      </c>
    </row>
    <row r="15" spans="1:4" hidden="1" outlineLevel="1">
      <c r="A15" s="37" t="s">
        <v>53</v>
      </c>
      <c r="B15" s="34" t="s">
        <v>54</v>
      </c>
      <c r="C15" s="33">
        <f>C16</f>
        <v>0</v>
      </c>
      <c r="D15" s="33">
        <f>D16</f>
        <v>0</v>
      </c>
    </row>
    <row r="16" spans="1:4" ht="37.5" hidden="1" customHeight="1" outlineLevel="1">
      <c r="A16" s="37" t="s">
        <v>56</v>
      </c>
      <c r="B16" s="34" t="s">
        <v>57</v>
      </c>
      <c r="C16" s="33"/>
      <c r="D16" s="33"/>
    </row>
    <row r="17" spans="1:4" hidden="1" outlineLevel="1">
      <c r="A17" s="37" t="s">
        <v>55</v>
      </c>
      <c r="B17" s="34" t="s">
        <v>58</v>
      </c>
      <c r="C17" s="33">
        <f>C18</f>
        <v>0</v>
      </c>
      <c r="D17" s="33">
        <f>D18</f>
        <v>0</v>
      </c>
    </row>
    <row r="18" spans="1:4" ht="38.25" hidden="1" customHeight="1" outlineLevel="1">
      <c r="A18" s="37" t="s">
        <v>106</v>
      </c>
      <c r="B18" s="34" t="s">
        <v>59</v>
      </c>
      <c r="C18" s="33"/>
      <c r="D18" s="33"/>
    </row>
    <row r="19" spans="1:4" ht="30" hidden="1" customHeight="1">
      <c r="A19" s="36" t="s">
        <v>21</v>
      </c>
      <c r="B19" s="31" t="s">
        <v>22</v>
      </c>
      <c r="C19" s="35">
        <v>0</v>
      </c>
      <c r="D19" s="35">
        <v>0</v>
      </c>
    </row>
    <row r="20" spans="1:4" ht="25.5" hidden="1" customHeight="1">
      <c r="A20" s="36" t="s">
        <v>23</v>
      </c>
      <c r="B20" s="31" t="s">
        <v>24</v>
      </c>
      <c r="C20" s="35">
        <v>0</v>
      </c>
      <c r="D20" s="35">
        <v>0</v>
      </c>
    </row>
    <row r="21" spans="1:4" ht="68.25" hidden="1" customHeight="1">
      <c r="A21" s="36" t="s">
        <v>25</v>
      </c>
      <c r="B21" s="31" t="s">
        <v>26</v>
      </c>
      <c r="C21" s="35">
        <v>0</v>
      </c>
      <c r="D21" s="35">
        <v>0</v>
      </c>
    </row>
    <row r="22" spans="1:4" ht="76.5" hidden="1" customHeight="1">
      <c r="A22" s="36" t="s">
        <v>27</v>
      </c>
      <c r="B22" s="31" t="s">
        <v>42</v>
      </c>
      <c r="C22" s="35">
        <v>0</v>
      </c>
      <c r="D22" s="35">
        <v>0</v>
      </c>
    </row>
    <row r="23" spans="1:4">
      <c r="A23" s="36" t="s">
        <v>214</v>
      </c>
      <c r="B23" s="31" t="s">
        <v>28</v>
      </c>
      <c r="C23" s="32">
        <f>C29-C25</f>
        <v>3553.2239999999947</v>
      </c>
      <c r="D23" s="32">
        <f>D29-D25</f>
        <v>323.52670999999827</v>
      </c>
    </row>
    <row r="24" spans="1:4" ht="15" customHeight="1">
      <c r="A24" s="36" t="s">
        <v>29</v>
      </c>
      <c r="B24" s="31" t="s">
        <v>30</v>
      </c>
      <c r="C24" s="32">
        <f t="shared" ref="C24:D26" si="0">C25</f>
        <v>37189.370000000003</v>
      </c>
      <c r="D24" s="32">
        <f t="shared" si="0"/>
        <v>37620.794000000002</v>
      </c>
    </row>
    <row r="25" spans="1:4" ht="15" customHeight="1">
      <c r="A25" s="36" t="s">
        <v>31</v>
      </c>
      <c r="B25" s="31" t="s">
        <v>32</v>
      </c>
      <c r="C25" s="32">
        <f t="shared" si="0"/>
        <v>37189.370000000003</v>
      </c>
      <c r="D25" s="32">
        <f t="shared" si="0"/>
        <v>37620.794000000002</v>
      </c>
    </row>
    <row r="26" spans="1:4">
      <c r="A26" s="36" t="s">
        <v>33</v>
      </c>
      <c r="B26" s="31" t="s">
        <v>34</v>
      </c>
      <c r="C26" s="32">
        <f t="shared" si="0"/>
        <v>37189.370000000003</v>
      </c>
      <c r="D26" s="32">
        <f t="shared" si="0"/>
        <v>37620.794000000002</v>
      </c>
    </row>
    <row r="27" spans="1:4">
      <c r="A27" s="36" t="s">
        <v>210</v>
      </c>
      <c r="B27" s="31" t="s">
        <v>119</v>
      </c>
      <c r="C27" s="32">
        <v>37189.370000000003</v>
      </c>
      <c r="D27" s="32">
        <v>37620.794000000002</v>
      </c>
    </row>
    <row r="28" spans="1:4" ht="15" customHeight="1">
      <c r="A28" s="36" t="s">
        <v>35</v>
      </c>
      <c r="B28" s="31" t="s">
        <v>36</v>
      </c>
      <c r="C28" s="32">
        <f t="shared" ref="C28:D30" si="1">C29</f>
        <v>40742.593999999997</v>
      </c>
      <c r="D28" s="32">
        <f t="shared" si="1"/>
        <v>37944.32071</v>
      </c>
    </row>
    <row r="29" spans="1:4" ht="15" customHeight="1">
      <c r="A29" s="36" t="s">
        <v>37</v>
      </c>
      <c r="B29" s="31" t="s">
        <v>38</v>
      </c>
      <c r="C29" s="32">
        <f t="shared" si="1"/>
        <v>40742.593999999997</v>
      </c>
      <c r="D29" s="32">
        <f t="shared" si="1"/>
        <v>37944.32071</v>
      </c>
    </row>
    <row r="30" spans="1:4" ht="14.25" customHeight="1">
      <c r="A30" s="38" t="s">
        <v>39</v>
      </c>
      <c r="B30" s="34" t="s">
        <v>40</v>
      </c>
      <c r="C30" s="32">
        <f t="shared" si="1"/>
        <v>40742.593999999997</v>
      </c>
      <c r="D30" s="32">
        <f t="shared" si="1"/>
        <v>37944.32071</v>
      </c>
    </row>
    <row r="31" spans="1:4">
      <c r="A31" s="38" t="s">
        <v>211</v>
      </c>
      <c r="B31" s="34" t="s">
        <v>120</v>
      </c>
      <c r="C31" s="32">
        <v>40742.593999999997</v>
      </c>
      <c r="D31" s="32">
        <v>37944.32071</v>
      </c>
    </row>
    <row r="32" spans="1:4">
      <c r="A32" s="8"/>
      <c r="B32" s="8"/>
      <c r="C32" s="9"/>
    </row>
    <row r="33" spans="1:3">
      <c r="A33" s="92" t="s">
        <v>41</v>
      </c>
      <c r="B33" s="92"/>
      <c r="C33" s="92"/>
    </row>
  </sheetData>
  <mergeCells count="10">
    <mergeCell ref="B1:D1"/>
    <mergeCell ref="B2:D2"/>
    <mergeCell ref="B3:D3"/>
    <mergeCell ref="A33:C33"/>
    <mergeCell ref="B4:C4"/>
    <mergeCell ref="A5:C5"/>
    <mergeCell ref="A6:C6"/>
    <mergeCell ref="A7:C7"/>
    <mergeCell ref="A8:C8"/>
    <mergeCell ref="A9:D9"/>
  </mergeCells>
  <phoneticPr fontId="1" type="noConversion"/>
  <pageMargins left="0.59055118110236227" right="0.39370078740157483" top="0.78740157480314965" bottom="0.78740157480314965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</vt:lpstr>
      <vt:lpstr>Приложение 5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Снегирев</cp:lastModifiedBy>
  <cp:lastPrinted>2024-04-15T07:08:54Z</cp:lastPrinted>
  <dcterms:created xsi:type="dcterms:W3CDTF">2008-12-08T05:18:30Z</dcterms:created>
  <dcterms:modified xsi:type="dcterms:W3CDTF">2025-04-18T12:08:28Z</dcterms:modified>
</cp:coreProperties>
</file>